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Ex2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xl/charts/chartEx1.xml" ContentType="application/vnd.ms-office.chartex+xml"/>
  <Override PartName="/xl/charts/colors50.xml" ContentType="application/vnd.ms-office.chartcolorstyle+xml"/>
  <Override PartName="/xl/charts/style50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\Downloads\"/>
    </mc:Choice>
  </mc:AlternateContent>
  <xr:revisionPtr revIDLastSave="7" documentId="11_EF19EC80BFE56827C71E2AF9ED1EA8E8C27BB635" xr6:coauthVersionLast="47" xr6:coauthVersionMax="47" xr10:uidLastSave="{4B2C940E-17EF-40A2-B80D-975CAEF0E5C5}"/>
  <bookViews>
    <workbookView xWindow="0" yWindow="0" windowWidth="16815" windowHeight="7755" xr2:uid="{00000000-000D-0000-FFFF-FFFF00000000}"/>
  </bookViews>
  <sheets>
    <sheet name="Índice" sheetId="30" r:id="rId1"/>
    <sheet name="Cuadro 1.1" sheetId="2" r:id="rId2"/>
    <sheet name="Gráfico 1.1" sheetId="3" r:id="rId3"/>
    <sheet name="Cuadro 5.1" sheetId="4" r:id="rId4"/>
    <sheet name="Gráfico 5.1" sheetId="5" r:id="rId5"/>
    <sheet name="Cuadro 5.2" sheetId="6" r:id="rId6"/>
    <sheet name="Gráfico 5.2" sheetId="7" r:id="rId7"/>
    <sheet name="Cuadro 5.3" sheetId="8" r:id="rId8"/>
    <sheet name="Gráfico 5.3 " sheetId="9" r:id="rId9"/>
    <sheet name="Cuadro 5.4" sheetId="10" r:id="rId10"/>
    <sheet name="Mapa 5.1" sheetId="11" r:id="rId11"/>
    <sheet name="Cuadro 5.5" sheetId="12" r:id="rId12"/>
    <sheet name="Gráfico 5.4" sheetId="13" r:id="rId13"/>
    <sheet name="Tabla 5.3" sheetId="14" r:id="rId14"/>
    <sheet name="Cuadro 6.1" sheetId="15" r:id="rId15"/>
    <sheet name="Gráfico 6.1" sheetId="16" r:id="rId16"/>
    <sheet name="Tabla 6.3" sheetId="17" r:id="rId17"/>
    <sheet name="Cuadro 6.2" sheetId="18" r:id="rId18"/>
    <sheet name="Gráfico 6.2" sheetId="19" r:id="rId19"/>
    <sheet name="Cuadro 6.3" sheetId="20" r:id="rId20"/>
    <sheet name="Gráfico 6.3" sheetId="21" r:id="rId21"/>
    <sheet name="Cuadro 6.4" sheetId="22" r:id="rId22"/>
    <sheet name="Gráfico 6.4" sheetId="23" r:id="rId23"/>
    <sheet name="Cuadro 6.5" sheetId="24" r:id="rId24"/>
    <sheet name="Gráfico 6.5" sheetId="25" r:id="rId25"/>
    <sheet name="Cuadro 6.6" sheetId="26" r:id="rId26"/>
    <sheet name="Gráfico 6.6" sheetId="27" r:id="rId27"/>
    <sheet name="Cuadro 6.7" sheetId="28" r:id="rId28"/>
    <sheet name="Gráfico 6.7" sheetId="29" r:id="rId29"/>
    <sheet name="Tabla 7.1" sheetId="31" r:id="rId30"/>
    <sheet name="Tabla 7.2" sheetId="32" r:id="rId31"/>
    <sheet name="Tabla 7.3" sheetId="33" r:id="rId32"/>
    <sheet name="Tabla 7.4" sheetId="34" r:id="rId33"/>
    <sheet name="Cuadro 7.1" sheetId="35" r:id="rId34"/>
    <sheet name="Gráfico 7.1" sheetId="36" r:id="rId35"/>
    <sheet name="Tabla 7.5" sheetId="37" r:id="rId36"/>
    <sheet name="Tabla 7.6" sheetId="38" r:id="rId37"/>
    <sheet name="Gráfico 7.2" sheetId="39" r:id="rId38"/>
  </sheets>
  <externalReferences>
    <externalReference r:id="rId39"/>
  </externalReferences>
  <definedNames>
    <definedName name="_xlchart.v1.0" hidden="1">'[1]G5 suicidios mes'!$A$2:$A$7</definedName>
    <definedName name="_xlchart.v1.1" hidden="1">'[1]G5 suicidios mes'!$B$1</definedName>
    <definedName name="_xlchart.v1.2" hidden="1">'[1]G5 suicidios mes'!$B$2:$B$7</definedName>
    <definedName name="_xlchart.v5.0" hidden="1">'[1]G4 suicidios depto'!$A$1</definedName>
    <definedName name="_xlchart.v5.1" hidden="1">'[1]G4 suicidios depto'!$A$2:$A$13</definedName>
    <definedName name="_xlchart.v5.2" hidden="1">'[1]G4 suicidios depto'!$B$1</definedName>
    <definedName name="_xlchart.v5.3" hidden="1">'[1]G4 suicidios depto'!$B$2:$B$13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37" l="1"/>
  <c r="B23" i="37"/>
  <c r="B22" i="37"/>
  <c r="D21" i="37"/>
  <c r="B21" i="37"/>
  <c r="D20" i="37"/>
  <c r="B20" i="37"/>
  <c r="B19" i="37"/>
  <c r="D18" i="37"/>
  <c r="B18" i="37"/>
  <c r="D17" i="37"/>
  <c r="B17" i="37"/>
  <c r="B16" i="37"/>
  <c r="B15" i="37"/>
  <c r="D14" i="37"/>
  <c r="B14" i="37"/>
  <c r="D13" i="37"/>
  <c r="B13" i="37"/>
  <c r="D12" i="37"/>
  <c r="C12" i="37"/>
  <c r="B12" i="37"/>
  <c r="D11" i="37"/>
  <c r="B11" i="37"/>
  <c r="D10" i="37"/>
  <c r="C10" i="37"/>
  <c r="B10" i="37"/>
  <c r="D9" i="37"/>
  <c r="C9" i="37"/>
  <c r="B9" i="37"/>
  <c r="D8" i="37"/>
  <c r="C8" i="37"/>
  <c r="B8" i="37"/>
  <c r="D7" i="37"/>
  <c r="C7" i="37"/>
  <c r="B7" i="37"/>
  <c r="C6" i="37"/>
  <c r="B6" i="37"/>
  <c r="D5" i="37"/>
  <c r="C5" i="37"/>
  <c r="B5" i="37"/>
  <c r="L5" i="28"/>
  <c r="H5" i="28"/>
  <c r="D5" i="28"/>
  <c r="D8" i="24"/>
  <c r="C8" i="24"/>
  <c r="B8" i="24"/>
  <c r="F5" i="22"/>
  <c r="F6" i="22"/>
  <c r="E6" i="22"/>
  <c r="E5" i="22"/>
  <c r="D4" i="22"/>
  <c r="C7" i="20"/>
  <c r="B7" i="20"/>
  <c r="C7" i="18"/>
  <c r="B7" i="18"/>
  <c r="F63" i="17"/>
  <c r="E63" i="17"/>
  <c r="F62" i="17"/>
  <c r="E62" i="17"/>
  <c r="F61" i="17"/>
  <c r="E61" i="17"/>
  <c r="F60" i="17"/>
  <c r="E60" i="17"/>
  <c r="G60" i="17" s="1"/>
  <c r="F59" i="17"/>
  <c r="E59" i="17"/>
  <c r="F58" i="17"/>
  <c r="E58" i="17"/>
  <c r="F57" i="17"/>
  <c r="E57" i="17"/>
  <c r="F56" i="17"/>
  <c r="E56" i="17"/>
  <c r="G56" i="17" s="1"/>
  <c r="F55" i="17"/>
  <c r="E55" i="17"/>
  <c r="F54" i="17"/>
  <c r="E54" i="17"/>
  <c r="F53" i="17"/>
  <c r="E53" i="17"/>
  <c r="F52" i="17"/>
  <c r="E52" i="17"/>
  <c r="G52" i="17" s="1"/>
  <c r="F51" i="17"/>
  <c r="E51" i="17"/>
  <c r="F50" i="17"/>
  <c r="E50" i="17"/>
  <c r="F49" i="17"/>
  <c r="E49" i="17"/>
  <c r="F48" i="17"/>
  <c r="E48" i="17"/>
  <c r="G48" i="17" s="1"/>
  <c r="F47" i="17"/>
  <c r="E47" i="17"/>
  <c r="F46" i="17"/>
  <c r="E46" i="17"/>
  <c r="F45" i="17"/>
  <c r="E45" i="17"/>
  <c r="F44" i="17"/>
  <c r="E44" i="17"/>
  <c r="G44" i="17" s="1"/>
  <c r="F43" i="17"/>
  <c r="E43" i="17"/>
  <c r="F42" i="17"/>
  <c r="E42" i="17"/>
  <c r="F41" i="17"/>
  <c r="E41" i="17"/>
  <c r="F40" i="17"/>
  <c r="E40" i="17"/>
  <c r="G40" i="17" s="1"/>
  <c r="F39" i="17"/>
  <c r="E39" i="17"/>
  <c r="F38" i="17"/>
  <c r="E38" i="17"/>
  <c r="F37" i="17"/>
  <c r="E37" i="17"/>
  <c r="F36" i="17"/>
  <c r="E36" i="17"/>
  <c r="G36" i="17" s="1"/>
  <c r="F35" i="17"/>
  <c r="E35" i="17"/>
  <c r="F34" i="17"/>
  <c r="E34" i="17"/>
  <c r="F33" i="17"/>
  <c r="E33" i="17"/>
  <c r="F32" i="17"/>
  <c r="E32" i="17"/>
  <c r="G32" i="17" s="1"/>
  <c r="F31" i="17"/>
  <c r="E31" i="17"/>
  <c r="F30" i="17"/>
  <c r="E30" i="17"/>
  <c r="F29" i="17"/>
  <c r="E29" i="17"/>
  <c r="F28" i="17"/>
  <c r="E28" i="17"/>
  <c r="G28" i="17" s="1"/>
  <c r="F27" i="17"/>
  <c r="E27" i="17"/>
  <c r="F26" i="17"/>
  <c r="E26" i="17"/>
  <c r="F25" i="17"/>
  <c r="E25" i="17"/>
  <c r="F24" i="17"/>
  <c r="E24" i="17"/>
  <c r="G24" i="17" s="1"/>
  <c r="F23" i="17"/>
  <c r="E23" i="17"/>
  <c r="F22" i="17"/>
  <c r="E22" i="17"/>
  <c r="F21" i="17"/>
  <c r="E21" i="17"/>
  <c r="F20" i="17"/>
  <c r="E20" i="17"/>
  <c r="G20" i="17" s="1"/>
  <c r="F19" i="17"/>
  <c r="E19" i="17"/>
  <c r="F18" i="17"/>
  <c r="E18" i="17"/>
  <c r="F17" i="17"/>
  <c r="E17" i="17"/>
  <c r="F16" i="17"/>
  <c r="E16" i="17"/>
  <c r="G16" i="17" s="1"/>
  <c r="F15" i="17"/>
  <c r="E15" i="17"/>
  <c r="F14" i="17"/>
  <c r="E14" i="17"/>
  <c r="F13" i="17"/>
  <c r="E13" i="17"/>
  <c r="F12" i="17"/>
  <c r="E12" i="17"/>
  <c r="G12" i="17" s="1"/>
  <c r="F11" i="17"/>
  <c r="E11" i="17"/>
  <c r="F10" i="17"/>
  <c r="E10" i="17"/>
  <c r="F9" i="17"/>
  <c r="E9" i="17"/>
  <c r="F8" i="17"/>
  <c r="E8" i="17"/>
  <c r="G8" i="17" s="1"/>
  <c r="F7" i="17"/>
  <c r="E7" i="17"/>
  <c r="F6" i="17"/>
  <c r="E6" i="17"/>
  <c r="F5" i="17"/>
  <c r="E5" i="17"/>
  <c r="F4" i="17"/>
  <c r="E4" i="17"/>
  <c r="G4" i="17" s="1"/>
  <c r="B11" i="15"/>
  <c r="C74" i="2"/>
  <c r="D47" i="2"/>
  <c r="D14" i="2"/>
  <c r="D4" i="2"/>
  <c r="D74" i="2" s="1"/>
  <c r="E5" i="37" l="1"/>
  <c r="E6" i="37"/>
  <c r="E7" i="37"/>
  <c r="E8" i="37"/>
  <c r="E9" i="37"/>
  <c r="E10" i="37"/>
  <c r="E11" i="37"/>
  <c r="E12" i="37"/>
  <c r="E13" i="37"/>
  <c r="E14" i="37"/>
  <c r="E15" i="37"/>
  <c r="E16" i="37"/>
  <c r="E17" i="37"/>
  <c r="E18" i="37"/>
  <c r="E19" i="37"/>
  <c r="E20" i="37"/>
  <c r="E21" i="37"/>
  <c r="E22" i="37"/>
  <c r="E23" i="37"/>
  <c r="E24" i="37"/>
  <c r="F4" i="22"/>
  <c r="E4" i="22"/>
  <c r="F21" i="14"/>
  <c r="F22" i="14" s="1"/>
  <c r="F18" i="14"/>
  <c r="F19" i="14" s="1"/>
  <c r="G23" i="37"/>
  <c r="F23" i="37"/>
  <c r="H23" i="37"/>
  <c r="G12" i="37"/>
  <c r="F12" i="37"/>
  <c r="H12" i="37"/>
  <c r="G19" i="37"/>
  <c r="F19" i="37"/>
  <c r="H19" i="37"/>
  <c r="H24" i="37"/>
  <c r="F24" i="37"/>
  <c r="G24" i="37"/>
  <c r="H20" i="37"/>
  <c r="F20" i="37"/>
  <c r="G20" i="37"/>
  <c r="H18" i="37"/>
  <c r="F18" i="37"/>
  <c r="G18" i="37"/>
  <c r="H5" i="37"/>
  <c r="F5" i="37"/>
  <c r="G5" i="37"/>
  <c r="G16" i="37"/>
  <c r="F16" i="37"/>
  <c r="H16" i="37"/>
  <c r="H21" i="37"/>
  <c r="F21" i="37"/>
  <c r="G21" i="37"/>
  <c r="G6" i="37"/>
  <c r="F6" i="37"/>
  <c r="H6" i="37"/>
  <c r="G8" i="37"/>
  <c r="F8" i="37"/>
  <c r="H8" i="37"/>
  <c r="G14" i="37"/>
  <c r="F14" i="37"/>
  <c r="H14" i="37"/>
  <c r="G17" i="37"/>
  <c r="F17" i="37"/>
  <c r="H17" i="37"/>
  <c r="H22" i="37"/>
  <c r="F22" i="37"/>
  <c r="G22" i="37"/>
  <c r="H9" i="37"/>
  <c r="F9" i="37"/>
  <c r="G9" i="37"/>
  <c r="H7" i="37"/>
  <c r="F7" i="37"/>
  <c r="G7" i="37"/>
  <c r="G10" i="37"/>
  <c r="F10" i="37"/>
  <c r="H10" i="37"/>
  <c r="G13" i="37"/>
  <c r="F13" i="37"/>
  <c r="H13" i="37"/>
  <c r="H11" i="37"/>
  <c r="F11" i="37"/>
  <c r="G11" i="37"/>
  <c r="G15" i="37"/>
  <c r="F15" i="37"/>
  <c r="H15" i="37"/>
</calcChain>
</file>

<file path=xl/sharedStrings.xml><?xml version="1.0" encoding="utf-8"?>
<sst xmlns="http://schemas.openxmlformats.org/spreadsheetml/2006/main" count="412" uniqueCount="262">
  <si>
    <t>Análisis Socioeconómico de El Salvador
Base de datos edición 7 - 2020</t>
  </si>
  <si>
    <t>Índice</t>
  </si>
  <si>
    <t xml:space="preserve">Para revisar los datos de esta edición, puede seleccionar la casilla que contiene el número de cuadro, tabla o gráfica al que se hace referencia, y puede regresar a este índice dando click en la casilla "Volver al índice" que se encuentra en cada hoja de esta base de datos.
Nota: Las secciones en las que no se muestra contenido son de carácter cualitativo, de revisión bibliográfica o la información no fue recopilada.
</t>
  </si>
  <si>
    <t>La economía mundial: crisis y situación actual de la economía capitalista</t>
  </si>
  <si>
    <t>Empleo y salarios durante la emergencia por la pandemia de COVID- 19 en El Salvador</t>
  </si>
  <si>
    <t>Cuadros</t>
  </si>
  <si>
    <t>Impacto en Valor Agregado sectorial estimado por reducción de remesas.  El Salvador. 2020</t>
  </si>
  <si>
    <t>Gráficas</t>
  </si>
  <si>
    <t>Tablas</t>
  </si>
  <si>
    <t>La tenencia de la tierra y cambios en el empleo rural en El Salvador: preámbulo a la crisis alimentaria generada por la pandemia de COVID-19</t>
  </si>
  <si>
    <t>Modelo intersectorial de desarrollo proporcional de oferta-demanda: contextualización en el sistema de cuentas nacionales y reflexiones acerca de la pandemia por COVID-19</t>
  </si>
  <si>
    <t>La salud mental en El Salvador: los costos invisibles de un problema olvidado. Un abordaje desde las Ciencias Sociales</t>
  </si>
  <si>
    <t>Reflexiones sobre la crisis de cuidados en El Salvador: énfasis en la niñez y adolescencia</t>
  </si>
  <si>
    <t>índice del Presupuesto General de la Nación y del Presupuesto MINSAL, 2009-2020 (Base 2009)</t>
  </si>
  <si>
    <t xml:space="preserve">Estado nutricional según IMC/edad de los niños y las niñas de primer grado,  2016 </t>
  </si>
  <si>
    <t>El Salvador: índice de los AVAD asociados a los trastornos mentales, 2000-2017</t>
  </si>
  <si>
    <t>Atenciones ambulatorias psicológicas brindadas en establecimientos del  MINSAL por sexo, 2016-2018</t>
  </si>
  <si>
    <t>El Salvador: distribución por sexo de los AVAD asociados a trastornos mentales por cada 100,000 habitantes, promedio 2000-2017</t>
  </si>
  <si>
    <t>Atenciones ambulatorias psiquiátricas brindadas en establecimientos del  MINSAL por sexo, 2016-2018</t>
  </si>
  <si>
    <t>El Salvador: suicidios registrados por departamento en medios digitales entre enero  y junio de 2020</t>
  </si>
  <si>
    <t>Cantidad de suicidios en hombres y mujeres en el periodo 2016-2018</t>
  </si>
  <si>
    <t xml:space="preserve"> El Salvador: suicidios registrados por mes en medios digitales entre enero  y junio de 2020</t>
  </si>
  <si>
    <t>Cantidad de hombres y mujeres víctimas de maltrato intrafamiliar y maltrato infantil</t>
  </si>
  <si>
    <t>Prevalencia de violencia infantil por tipo de violencia</t>
  </si>
  <si>
    <t>Población de 0 a 17 años de edad que vive sin alguno o sin ambos padres, según motivo y pariente que lo abandonó.  Año 2018</t>
  </si>
  <si>
    <t>El Salvador: índice del Presupuesto General de la Nación y del Presupuesto MINSAL, 2009-2020 (Base 2009)</t>
  </si>
  <si>
    <t>Estado nutricional según IMC/edad de los niños y las niñas de primer grado,  2016 (en porcentaje)</t>
  </si>
  <si>
    <t>El Salvador: suicidios registrados por mes en medios digitales entre enero  y junio de 2020</t>
  </si>
  <si>
    <t xml:space="preserve"> Cantidad de suicidios en hombres y mujeres en el periodo 2016-2018</t>
  </si>
  <si>
    <t>Población de 0 a 17 años de edad que vive sin alguno o sin ambos padres, según motivo y pariente que lo abandonó 2018 (Porcentaje)</t>
  </si>
  <si>
    <t>El Salvador: cálculo de pérdidas económicas por muertes y discapacidad de personas con trastornos mentales con base en la productividad estimada para el año 2017 (Millones de USD)</t>
  </si>
  <si>
    <t>Cobertura del ISSS en menores de 12 años (igual o menor a 12 años de edad)</t>
  </si>
  <si>
    <t>Mapas</t>
  </si>
  <si>
    <t>Deuda pública 2000 – 2019, entre la legalidad y la legitimidad</t>
  </si>
  <si>
    <t xml:space="preserve">Sección anexo de ASES 2021: Sostenibilidad de la deuda pública salvadoreña </t>
  </si>
  <si>
    <t>Evolución del saldo de la deuda pública: SPNF, SPF (FOP). Millones de dólares 2001 a mayo 2021.</t>
  </si>
  <si>
    <t xml:space="preserve">Proporción que el servicio de la deuda pública tiene respecto del PIB y de los impuestos. 2001 – 2020. </t>
  </si>
  <si>
    <t>Servicio de la deuda pública, interna y externa. 2001 a 2021. Millones de dólares.</t>
  </si>
  <si>
    <t xml:space="preserve"> El Salvador. Datos macroeconómicos. Millones de dólares y porcentajes. 2001 a 2020.</t>
  </si>
  <si>
    <t xml:space="preserve"> Monto de tributos e impuestos. Millones de dólares y porcentajes. 2001 a 2020.</t>
  </si>
  <si>
    <t>Saldos de la Deuda Pública, total, externa e interna. Millones de dólares. 2001 a mayo 2021.</t>
  </si>
  <si>
    <t>Saldos de Deuda Externa por acreedor. Millones de dólares y proporciones. 2001 a 2020.</t>
  </si>
  <si>
    <t>Proporción del servicio de la deuda.</t>
  </si>
  <si>
    <t>Cuadro 1.1 Impacto en Valor Agregado sectorial estimado por reducción de remesas.  El Salvador. 2020</t>
  </si>
  <si>
    <t>Volver al índice</t>
  </si>
  <si>
    <t>Producto</t>
  </si>
  <si>
    <t>VArem</t>
  </si>
  <si>
    <t>Porcentual</t>
  </si>
  <si>
    <t>Sectorial</t>
  </si>
  <si>
    <t>Total</t>
  </si>
  <si>
    <t xml:space="preserve">Fuente: estimaciones propias con base a datos del Banco Central de Reserva </t>
  </si>
  <si>
    <t>Gráfico 1.1  Impacto en Valor Agregado sectorial estimado por reducción de remesas.  El Salvador. 2020</t>
  </si>
  <si>
    <t>Cuadro 5.1  El Salvador: índice del Presupuesto General de la Nación y del Presupuesto MINSAL, 2009-2020 (Base 2009)</t>
  </si>
  <si>
    <t>Año</t>
  </si>
  <si>
    <t>PGN</t>
  </si>
  <si>
    <t>Presupuesto MINSAL</t>
  </si>
  <si>
    <t>Presupuesto H. Psiquiátrico</t>
  </si>
  <si>
    <t>% del PGN dedicado al MINSAL</t>
  </si>
  <si>
    <t>% directo para atención a salud mental</t>
  </si>
  <si>
    <t>Presupuesto general</t>
  </si>
  <si>
    <t>Presupuesto salud mental</t>
  </si>
  <si>
    <t>TC PGN</t>
  </si>
  <si>
    <t>TC P.MINSAL</t>
  </si>
  <si>
    <t>TC P. ASM</t>
  </si>
  <si>
    <t>PIB per cápita corr</t>
  </si>
  <si>
    <t>PIB p. corr</t>
  </si>
  <si>
    <t>% MINSAL PIB</t>
  </si>
  <si>
    <t>Fuente: elaboración propia con base en las Guía del Presupuesto General del Estado para el Ciudadano 2009-2020 (Ministerio de Hacienda, 2020)</t>
  </si>
  <si>
    <t>Gráfico 5.1 El Salvador: índice del Presupuesto General de la Nación y del Presupuesto MINSAL, 2009-2020 (Base 2009)</t>
  </si>
  <si>
    <t>Cuadro 5.2  El Salvador: índice de los AVAD asociados a los trastornos mentales, 2000-2017</t>
  </si>
  <si>
    <t>Trastorno por el consumo de alcohol</t>
  </si>
  <si>
    <t>Ansiedad</t>
  </si>
  <si>
    <t>Bipolaridad</t>
  </si>
  <si>
    <t>Trasnorno por el consumo de drogas</t>
  </si>
  <si>
    <t>Distimia</t>
  </si>
  <si>
    <t>Trastornos alimenticios</t>
  </si>
  <si>
    <t>Trastorno depresivo mayor</t>
  </si>
  <si>
    <t>Autolesiones</t>
  </si>
  <si>
    <t>Total general</t>
  </si>
  <si>
    <t>Fuente: elaboración propia con base en IHME (2017)</t>
  </si>
  <si>
    <t>Gráfico 5.2 El Salvador: índice de los AVAD asociados a los trastornos mentales, 2000-2017</t>
  </si>
  <si>
    <t>Cuadro 5.3 El Salvador: distribución por sexo de los AVAD asociados a trastornos mentales por cada 100,000 habitantes, promedio 2000-2017</t>
  </si>
  <si>
    <t>Causa</t>
  </si>
  <si>
    <t>Mujeres</t>
  </si>
  <si>
    <t>Hombres</t>
  </si>
  <si>
    <t>Fuente: elaboración propia con base en IHME (2017).</t>
  </si>
  <si>
    <t>Gráfico 5.3  El Salvador: distribución por sexo de los AVAD asociados a trastornos mentales por cada 100,000 habitantes, promedio 2000-2017</t>
  </si>
  <si>
    <t>Cuadro 5.4  El Salvador: suicidios registrados por departamento en medios digitales entre enero  y junio de 2020</t>
  </si>
  <si>
    <t>Departamento</t>
  </si>
  <si>
    <t>Suicidios por 
departamento</t>
  </si>
  <si>
    <t>Cabañas</t>
  </si>
  <si>
    <t>La Unión</t>
  </si>
  <si>
    <t>Santa Ana</t>
  </si>
  <si>
    <t>Cuscatlán</t>
  </si>
  <si>
    <t>La Libertad</t>
  </si>
  <si>
    <t>San Miguel</t>
  </si>
  <si>
    <t>Usulután</t>
  </si>
  <si>
    <t>La Paz</t>
  </si>
  <si>
    <t>Sonsonate</t>
  </si>
  <si>
    <t>Ahuachapán</t>
  </si>
  <si>
    <t>San Salvador</t>
  </si>
  <si>
    <t>Fuente: elaboración propia con base en notas periodísticas rastreadas en diversos medios digitales (ver anexo tabla A3).</t>
  </si>
  <si>
    <t>Mapa 5.1  El Salvador: suicidios registrados por departamento en medios digitales entre enero  y junio de 2020</t>
  </si>
  <si>
    <t>Cuadro 5.5 El Salvador: suicidios registrados por mes en medios digitales entre enero  y junio de 2020</t>
  </si>
  <si>
    <t>Mes</t>
  </si>
  <si>
    <t>Suicidios</t>
  </si>
  <si>
    <t>enero</t>
  </si>
  <si>
    <t>febrero</t>
  </si>
  <si>
    <t>marzo</t>
  </si>
  <si>
    <t>abril</t>
  </si>
  <si>
    <t>mayo</t>
  </si>
  <si>
    <t>junio</t>
  </si>
  <si>
    <t>Gráfico 5.4 El Salvador: suicidios registrados por mes en medios digitales entre enero  y junio de 2020</t>
  </si>
  <si>
    <t>Tabla 5.3 El Salvador: cálculo de pérdidas económicas por muertes y discapacidad de personas con trastornos mentales con base en la productividad estimada para el año 2017 (Millones de USD)</t>
  </si>
  <si>
    <t>Sectores productivos</t>
  </si>
  <si>
    <t>Producción (X)</t>
  </si>
  <si>
    <r>
      <rPr>
        <b/>
        <sz val="10"/>
        <color theme="1"/>
        <rFont val="Calibri"/>
        <family val="2"/>
      </rPr>
      <t>λ</t>
    </r>
    <r>
      <rPr>
        <b/>
        <sz val="10"/>
        <color theme="1"/>
        <rFont val="Arial"/>
        <family val="2"/>
      </rPr>
      <t>, peso sectorial en X (Xi/X)</t>
    </r>
  </si>
  <si>
    <t>Ocupación por sector (L)</t>
  </si>
  <si>
    <t>Productividad (Li/Xi)</t>
  </si>
  <si>
    <t>Productividad Ponderada [(Li/Xi)*λ)</t>
  </si>
  <si>
    <t>Agrosilvopecuario y pesca</t>
  </si>
  <si>
    <t>Minas y Canteras</t>
  </si>
  <si>
    <t>Industria manufacturera</t>
  </si>
  <si>
    <t>Electricidad, gas agua y desechos</t>
  </si>
  <si>
    <t>Construcción</t>
  </si>
  <si>
    <t>Comercio y servicios</t>
  </si>
  <si>
    <t>Transporte, almacenamiento y comunicaciones</t>
  </si>
  <si>
    <t>Actividades financieras e inmobiliarias</t>
  </si>
  <si>
    <t>Administración pública</t>
  </si>
  <si>
    <t>Enseñanza y servicios comunales</t>
  </si>
  <si>
    <t>Otras actividades y servicios</t>
  </si>
  <si>
    <t>PIB 2017</t>
  </si>
  <si>
    <t>Número de muertes asociadas a trastornos mentales</t>
  </si>
  <si>
    <t>Pérdida por muertes según productividad 2017</t>
  </si>
  <si>
    <t>Pérdida por muertes como % del PIB</t>
  </si>
  <si>
    <t>Años de vida ajustado por discapacidad (AVAD) por enfermeades de salud mental (2017)</t>
  </si>
  <si>
    <t>Pérdida por AVAD según productividad 2017</t>
  </si>
  <si>
    <t>Pérdida por AVAD como % del PIB</t>
  </si>
  <si>
    <t>Fuente: elaboración propia con base en IHME (2017) y BCR (2017)</t>
  </si>
  <si>
    <t xml:space="preserve">Cuadro 6.1 Estado nutricional según IMC/edad de los niños y las niñas de primer grado,  2016 </t>
  </si>
  <si>
    <t xml:space="preserve">Clasificación del estado nutricional </t>
  </si>
  <si>
    <t>N°</t>
  </si>
  <si>
    <t>%</t>
  </si>
  <si>
    <t>Normal</t>
  </si>
  <si>
    <t>Total desnutrición aguda</t>
  </si>
  <si>
    <t>Total desnutrición moderada</t>
  </si>
  <si>
    <t>Total desnutrición severa</t>
  </si>
  <si>
    <t>Total sobrepeso y obesidad</t>
  </si>
  <si>
    <t>Sobrepeso</t>
  </si>
  <si>
    <t>Obesidad</t>
  </si>
  <si>
    <t>Fuente: elaboración propia con base en MINSAL, MINED y CONASAN (2016, p. 12).</t>
  </si>
  <si>
    <t>Gráfico 6.1 Estado nutricional según IMC/edad de los niños y las niñas de primer grado,  2016 (en porcentaje)</t>
  </si>
  <si>
    <t>Cuadro 6.2 Cobertura del ISSS en menores de 12 años (igual o menor a 12 años de edad)</t>
  </si>
  <si>
    <t>Población 12 o menos</t>
  </si>
  <si>
    <t>Total cubierto ISSS</t>
  </si>
  <si>
    <t>Porcentaje de cobertura</t>
  </si>
  <si>
    <t>Tasa por 100,000</t>
  </si>
  <si>
    <t>Porcentaje promedio 2015-2018</t>
  </si>
  <si>
    <t>Total País</t>
  </si>
  <si>
    <t>Chalatenango</t>
  </si>
  <si>
    <t>Cuscaltán</t>
  </si>
  <si>
    <t>San Vicente</t>
  </si>
  <si>
    <t>Morazán</t>
  </si>
  <si>
    <t>Fuente: elaboración propia con base en ISSS y estimaciones poblacionales presentadas por MINSAL con base información de la Digestyc, varios años.</t>
  </si>
  <si>
    <t>Cuadro 6.2. Atenciones ambulatorias psicológicas brindadas en establecimientos del  MINSAL por sexo, 2016-2018</t>
  </si>
  <si>
    <t>Masculino</t>
  </si>
  <si>
    <t xml:space="preserve">Femenino </t>
  </si>
  <si>
    <t>Fuente: elaboración propia con base en MINSAL, Sistema de Morbimortalidad en Línea (SIMMOW).</t>
  </si>
  <si>
    <t>Gráfico 6.2 Atenciones ambulatorias psicológicas brindadas en establecimientos del  MINSAL por sexo, 2016-2018</t>
  </si>
  <si>
    <t>Cuadro 6.3 Atenciones ambulatorias psiquiátricas brindadas en establecimientos del  MINSAL por sexo, 2016-2018</t>
  </si>
  <si>
    <t>Gráfico 6.3  Atenciones ambulatorias psiquiátricas brindadas en establecimientos del  MINSAL por sexo, 2016-2018</t>
  </si>
  <si>
    <t>Cuadro 6.4  Cantidad de suicidios en hombres y mujeres en el periodo 2016-2018</t>
  </si>
  <si>
    <t>% Masc</t>
  </si>
  <si>
    <t>% Fem</t>
  </si>
  <si>
    <t>Fuente: elaboración propia con base en solicitud de acceso a la información de la Unidad de Acceso a la Información del Órgano Judicial.</t>
  </si>
  <si>
    <t>Gráfico 6.4  Cantidad de suicidios en hombres y mujeres en el periodo 2016-2018</t>
  </si>
  <si>
    <t>Cuadro 6.5  Cantidad de hombres y mujeres víctimas de maltrato intrafamiliar y maltrato infantil</t>
  </si>
  <si>
    <t>Cantidad de hombres víctimas de violencia intrafamiliar</t>
  </si>
  <si>
    <t>Cantidad de mujeres víctimas de violencia intrafamiliar</t>
  </si>
  <si>
    <t>Cantidad de niños víctimas de maltrato infantil</t>
  </si>
  <si>
    <t>Cantidad de niñas víctimas de maltrato infantil</t>
  </si>
  <si>
    <t>Fuente: elaboración propia con base solicitud de acceso a la información de la Fiscalía General de la República.</t>
  </si>
  <si>
    <t>Gráfico 6.5  Cantidad de hombres y mujeres víctimas de maltrato intrafamiliar y maltrato infantil</t>
  </si>
  <si>
    <t>Cuadro 6.6  Prevalencia de violencia infantil por tipo de violencia</t>
  </si>
  <si>
    <t>Tipo</t>
  </si>
  <si>
    <t>Psicológica</t>
  </si>
  <si>
    <t>Física</t>
  </si>
  <si>
    <t>Sexual</t>
  </si>
  <si>
    <t>Fuente: tomado de Encuesta nacional de violencia contra las mujeres, (Minec y Digestyc, 2018, p. 20)</t>
  </si>
  <si>
    <t>Gráfico 6.6  Prevalencia de violencia infantil por tipo de violencia</t>
  </si>
  <si>
    <t>Cuadro 6.7 . Población de 0 a 17 años de edad que vive sin alguno o sin ambos padres, según motivo y pariente que lo abandonó.  Año 2018</t>
  </si>
  <si>
    <t>Abandono</t>
  </si>
  <si>
    <t>Migración</t>
  </si>
  <si>
    <t>Muerte</t>
  </si>
  <si>
    <t>Padre</t>
  </si>
  <si>
    <t>Madre</t>
  </si>
  <si>
    <t>Ambos</t>
  </si>
  <si>
    <t>Fuente: tomado de Encuesta de Hogares de Propósitos Múltiples 2018, p. 53</t>
  </si>
  <si>
    <t>Gráfico 6.7 . Población de 0 a 17 años de edad que vive sin alguno o sin ambos padres, según motivo y pariente que lo abandonó 2018 (Porcentaje)</t>
  </si>
  <si>
    <t>Tabla 7.1. Servicio de la deuda pública, interna y externa. 2001 a 2021. Millones de dólares.</t>
  </si>
  <si>
    <t>Interna</t>
  </si>
  <si>
    <t>Externa</t>
  </si>
  <si>
    <t>Movimientos que no implican redución saldo de la deuda</t>
  </si>
  <si>
    <t>Intereses</t>
  </si>
  <si>
    <t>Amortización</t>
  </si>
  <si>
    <t>total</t>
  </si>
  <si>
    <t>Roll over $200.00</t>
  </si>
  <si>
    <t>Roll over $653.50</t>
  </si>
  <si>
    <t>Roll over $800.00</t>
  </si>
  <si>
    <t xml:space="preserve">FUENTE. Ley del Presupuesto General del Estado, Ramo de Hacienda, para cada año fiscal 2002 a 2021, para columnas de la 1 a la 9. La columna 10 datos tomados de UCA, Departamento de Economía, ASES , Segundo Semestre 2016 </t>
  </si>
  <si>
    <t>Tabla 7.2 El Salvador. Datos macroeconómicos. Millones de dólares y porcentajes. 2001 a 2020.</t>
  </si>
  <si>
    <t>PIB corriente</t>
  </si>
  <si>
    <t>Remesas netas</t>
  </si>
  <si>
    <t>Ingreso Nacional Bruto Disponible</t>
  </si>
  <si>
    <t>Saldo de la deuda pública</t>
  </si>
  <si>
    <t>Saldo como % del PIB</t>
  </si>
  <si>
    <t>Saldo como % del YNBD</t>
  </si>
  <si>
    <t>FUENTE: Banco Central de Reserva. Tomados del sitio web:  https://www.bcr.gob.sv/bcrsite/?cat=1000&amp;lang=es#ancla1047</t>
  </si>
  <si>
    <t>Tabla 7.3. Monto de tributos e impuestos. Millones de dólares y porcentajes. 2001 a 2020.</t>
  </si>
  <si>
    <t>años</t>
  </si>
  <si>
    <t>Ingresos</t>
  </si>
  <si>
    <t>Sobre PIB</t>
  </si>
  <si>
    <t>Sobre YNBD</t>
  </si>
  <si>
    <t>Tributos</t>
  </si>
  <si>
    <t>Impuestos</t>
  </si>
  <si>
    <t>Presión tributaria</t>
  </si>
  <si>
    <t>Presión impositiva</t>
  </si>
  <si>
    <t>FUENTE: Banco Central de Reserva. Sitio web: bcr.gob.sv y cálculos propios</t>
  </si>
  <si>
    <t>Tabla 7.4 Saldos de la Deuda Pública, total, externa e interna. Millones de dólares. 2001 a mayo 2021.</t>
  </si>
  <si>
    <t>Deuda Pública Total</t>
  </si>
  <si>
    <t>Sector Público No Financiero</t>
  </si>
  <si>
    <t>Empresas Públicas No Financieras</t>
  </si>
  <si>
    <t xml:space="preserve"> Secto Público Financiero</t>
  </si>
  <si>
    <t xml:space="preserve"> Banco Central De Reserva</t>
  </si>
  <si>
    <t>Deuda Externa Pública</t>
  </si>
  <si>
    <t>Sector Público Financiero</t>
  </si>
  <si>
    <t>Banco Central De Reserva</t>
  </si>
  <si>
    <t>Deuda Interna Pública</t>
  </si>
  <si>
    <t>Del cual FOP (pensiones)</t>
  </si>
  <si>
    <t>FUENTE: Los saldos de la deuda pública, tomados del sitio web del Banco Central de Reserva de El Salvador https://www.bcr.gob.sv/bcrsite/?cat=1000&amp;lang=es#ancla1047</t>
  </si>
  <si>
    <t>Cuadro 7.1  Evolución del saldo de la deuda pública: SPNF, SPF (FOP). Millones de dólares 2001 a mayo 2021.</t>
  </si>
  <si>
    <t>SPNF</t>
  </si>
  <si>
    <t>SPF</t>
  </si>
  <si>
    <t>FOP</t>
  </si>
  <si>
    <t xml:space="preserve">Fuente: BCR </t>
  </si>
  <si>
    <t>Gráfico 7.1  Evolución del saldo de la deuda pública: SPNF, SPF (FOP). Millones de dólares 2001 a mayo 2021.</t>
  </si>
  <si>
    <t>Fuente: Elaboración propia con base en datos del BCR</t>
  </si>
  <si>
    <t>Tabla 7.5  Saldos de Deuda Externa por acreedor. Millones de dólares y proporciones. 2001 a 2020.</t>
  </si>
  <si>
    <t>Millones dólares</t>
  </si>
  <si>
    <t>Proporción</t>
  </si>
  <si>
    <t>Multiltarales</t>
  </si>
  <si>
    <t>Bilaterales</t>
  </si>
  <si>
    <t>Instituciones financieras</t>
  </si>
  <si>
    <t>TOTAL</t>
  </si>
  <si>
    <t>FUENTE: . Los datos de los saldos de la deuda externa por acreedor, tomados de la Revista Trimestral del Banco Central de Reserva de El Salvador, del sitio web https://www.bcr.gob.sv/esp/index.php?option=com_wrapper&amp;view=wrapper&amp;Itemid=288</t>
  </si>
  <si>
    <t>Tabla 7.6 Proporción del servicio de la deuda.</t>
  </si>
  <si>
    <t>Total servicio deuda</t>
  </si>
  <si>
    <t>PIB</t>
  </si>
  <si>
    <t>YNBD</t>
  </si>
  <si>
    <t>FUENTE: Cálculos propios en base a datos de las tablas anteriores</t>
  </si>
  <si>
    <t xml:space="preserve">Gráfico 7.2. Proporción que el servicio de la deuda pública tiene respecto del PIB y de los impuestos. 2001 – 2020. </t>
  </si>
  <si>
    <t>Fuente: elaboración propia con base a datos de las tablas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</si>
</sst>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&quot;-&quot;??_-;_-@_-"/>
    <numFmt numFmtId="165" formatCode="0.0%"/>
    <numFmt numFmtId="166" formatCode="0.0"/>
    <numFmt numFmtId="167" formatCode="0.0000"/>
    <numFmt numFmtId="168" formatCode="0.00000000"/>
    <numFmt numFmtId="169" formatCode="#,##0.0"/>
    <numFmt numFmtId="170" formatCode="0.00\ %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4"/>
      <color theme="0"/>
      <name val="Arial"/>
      <family val="2"/>
    </font>
    <font>
      <sz val="9"/>
      <name val="Arial"/>
      <family val="2"/>
    </font>
    <font>
      <b/>
      <sz val="11"/>
      <color theme="0"/>
      <name val="Arial"/>
      <family val="2"/>
    </font>
    <font>
      <sz val="11"/>
      <color theme="10"/>
      <name val="Calibri"/>
      <family val="2"/>
      <scheme val="minor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29C5D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4">
    <xf numFmtId="0" fontId="0" fillId="0" borderId="0"/>
    <xf numFmtId="0" fontId="2" fillId="0" borderId="0"/>
    <xf numFmtId="9" fontId="4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67">
    <xf numFmtId="0" fontId="0" fillId="0" borderId="0" xfId="0"/>
    <xf numFmtId="0" fontId="0" fillId="0" borderId="0" xfId="0" applyAlignment="1">
      <alignment horizontal="center"/>
    </xf>
    <xf numFmtId="10" fontId="0" fillId="0" borderId="0" xfId="2" applyNumberFormat="1" applyFont="1" applyBorder="1" applyAlignment="1">
      <alignment horizontal="center"/>
    </xf>
    <xf numFmtId="0" fontId="0" fillId="0" borderId="0" xfId="0" applyAlignment="1">
      <alignment wrapText="1"/>
    </xf>
    <xf numFmtId="2" fontId="0" fillId="0" borderId="0" xfId="0" applyNumberFormat="1"/>
    <xf numFmtId="4" fontId="0" fillId="0" borderId="0" xfId="0" applyNumberFormat="1"/>
    <xf numFmtId="9" fontId="0" fillId="0" borderId="0" xfId="2" applyFont="1"/>
    <xf numFmtId="10" fontId="0" fillId="0" borderId="0" xfId="2" applyNumberFormat="1" applyFont="1"/>
    <xf numFmtId="2" fontId="0" fillId="0" borderId="0" xfId="2" applyNumberFormat="1" applyFont="1"/>
    <xf numFmtId="165" fontId="0" fillId="0" borderId="0" xfId="2" applyNumberFormat="1" applyFont="1"/>
    <xf numFmtId="166" fontId="0" fillId="0" borderId="0" xfId="0" applyNumberFormat="1"/>
    <xf numFmtId="1" fontId="0" fillId="0" borderId="0" xfId="0" applyNumberFormat="1"/>
    <xf numFmtId="49" fontId="0" fillId="0" borderId="0" xfId="0" applyNumberFormat="1"/>
    <xf numFmtId="0" fontId="8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0" fontId="3" fillId="0" borderId="4" xfId="0" applyNumberFormat="1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4" xfId="0" applyFont="1" applyBorder="1"/>
    <xf numFmtId="2" fontId="0" fillId="0" borderId="4" xfId="0" applyNumberFormat="1" applyBorder="1"/>
    <xf numFmtId="4" fontId="0" fillId="0" borderId="4" xfId="0" applyNumberFormat="1" applyBorder="1"/>
    <xf numFmtId="9" fontId="0" fillId="0" borderId="4" xfId="2" applyFont="1" applyBorder="1"/>
    <xf numFmtId="10" fontId="0" fillId="0" borderId="4" xfId="2" applyNumberFormat="1" applyFont="1" applyBorder="1"/>
    <xf numFmtId="2" fontId="0" fillId="0" borderId="4" xfId="2" applyNumberFormat="1" applyFont="1" applyBorder="1"/>
    <xf numFmtId="165" fontId="0" fillId="0" borderId="4" xfId="2" applyNumberFormat="1" applyFont="1" applyBorder="1"/>
    <xf numFmtId="166" fontId="0" fillId="0" borderId="4" xfId="0" applyNumberFormat="1" applyBorder="1"/>
    <xf numFmtId="0" fontId="0" fillId="0" borderId="4" xfId="0" applyBorder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49" fontId="3" fillId="0" borderId="0" xfId="0" applyNumberFormat="1" applyFont="1"/>
    <xf numFmtId="1" fontId="3" fillId="0" borderId="0" xfId="0" applyNumberFormat="1" applyFont="1"/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165" fontId="0" fillId="0" borderId="0" xfId="2" applyNumberFormat="1" applyFont="1" applyBorder="1" applyAlignment="1"/>
    <xf numFmtId="165" fontId="0" fillId="0" borderId="4" xfId="2" applyNumberFormat="1" applyFont="1" applyBorder="1" applyAlignment="1"/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2" fontId="6" fillId="0" borderId="0" xfId="0" applyNumberFormat="1" applyFont="1" applyAlignment="1">
      <alignment horizontal="left" vertical="center"/>
    </xf>
    <xf numFmtId="2" fontId="5" fillId="0" borderId="0" xfId="0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167" fontId="5" fillId="0" borderId="0" xfId="0" applyNumberFormat="1" applyFont="1" applyAlignment="1">
      <alignment vertical="center"/>
    </xf>
    <xf numFmtId="168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2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67" fontId="7" fillId="0" borderId="0" xfId="0" applyNumberFormat="1" applyFont="1" applyAlignment="1">
      <alignment vertical="center"/>
    </xf>
    <xf numFmtId="168" fontId="7" fillId="0" borderId="0" xfId="0" applyNumberFormat="1" applyFont="1" applyAlignment="1">
      <alignment vertical="center"/>
    </xf>
    <xf numFmtId="2" fontId="7" fillId="0" borderId="0" xfId="0" applyNumberFormat="1" applyFont="1"/>
    <xf numFmtId="1" fontId="5" fillId="0" borderId="0" xfId="0" applyNumberFormat="1" applyFont="1"/>
    <xf numFmtId="10" fontId="5" fillId="0" borderId="0" xfId="2" applyNumberFormat="1" applyFont="1" applyBorder="1" applyAlignment="1"/>
    <xf numFmtId="1" fontId="7" fillId="0" borderId="0" xfId="0" applyNumberFormat="1" applyFont="1"/>
    <xf numFmtId="2" fontId="5" fillId="0" borderId="0" xfId="0" applyNumberFormat="1" applyFont="1"/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65" fontId="7" fillId="0" borderId="4" xfId="2" applyNumberFormat="1" applyFont="1" applyBorder="1" applyAlignment="1"/>
    <xf numFmtId="0" fontId="3" fillId="0" borderId="0" xfId="0" applyFont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165" fontId="3" fillId="0" borderId="0" xfId="2" applyNumberFormat="1" applyFont="1" applyFill="1" applyBorder="1" applyAlignment="1">
      <alignment horizontal="center" wrapText="1"/>
    </xf>
    <xf numFmtId="169" fontId="3" fillId="0" borderId="0" xfId="0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center" wrapText="1"/>
    </xf>
    <xf numFmtId="165" fontId="0" fillId="0" borderId="0" xfId="2" applyNumberFormat="1" applyFont="1" applyFill="1" applyBorder="1" applyAlignment="1">
      <alignment horizontal="center" wrapText="1"/>
    </xf>
    <xf numFmtId="169" fontId="0" fillId="0" borderId="0" xfId="0" applyNumberFormat="1" applyAlignment="1">
      <alignment horizontal="center" wrapText="1"/>
    </xf>
    <xf numFmtId="0" fontId="0" fillId="0" borderId="4" xfId="0" applyBorder="1" applyAlignment="1">
      <alignment horizontal="center" wrapText="1"/>
    </xf>
    <xf numFmtId="3" fontId="0" fillId="0" borderId="4" xfId="0" applyNumberFormat="1" applyBorder="1" applyAlignment="1">
      <alignment horizontal="center" wrapText="1"/>
    </xf>
    <xf numFmtId="165" fontId="0" fillId="0" borderId="4" xfId="2" applyNumberFormat="1" applyFont="1" applyFill="1" applyBorder="1" applyAlignment="1">
      <alignment horizontal="center" wrapText="1"/>
    </xf>
    <xf numFmtId="169" fontId="0" fillId="0" borderId="4" xfId="0" applyNumberFormat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/>
    <xf numFmtId="9" fontId="1" fillId="0" borderId="0" xfId="2" applyFont="1" applyFill="1" applyBorder="1"/>
    <xf numFmtId="0" fontId="11" fillId="0" borderId="8" xfId="0" applyFont="1" applyBorder="1" applyAlignment="1">
      <alignment horizontal="center"/>
    </xf>
    <xf numFmtId="0" fontId="1" fillId="0" borderId="8" xfId="0" applyFont="1" applyBorder="1"/>
    <xf numFmtId="9" fontId="1" fillId="0" borderId="8" xfId="2" applyFont="1" applyFill="1" applyBorder="1"/>
    <xf numFmtId="0" fontId="0" fillId="2" borderId="1" xfId="0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12" fillId="0" borderId="0" xfId="0" applyFont="1"/>
    <xf numFmtId="0" fontId="15" fillId="4" borderId="0" xfId="0" applyFont="1" applyFill="1" applyAlignment="1">
      <alignment vertical="center"/>
    </xf>
    <xf numFmtId="0" fontId="15" fillId="4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5" fillId="4" borderId="0" xfId="0" applyFont="1" applyFill="1" applyAlignment="1">
      <alignment horizontal="left" vertical="center" wrapText="1" indent="1"/>
    </xf>
    <xf numFmtId="0" fontId="15" fillId="4" borderId="0" xfId="0" applyFont="1" applyFill="1" applyAlignment="1">
      <alignment vertical="center" wrapText="1"/>
    </xf>
    <xf numFmtId="0" fontId="15" fillId="4" borderId="0" xfId="0" applyFont="1" applyFill="1" applyAlignment="1">
      <alignment horizontal="center" vertical="center" wrapText="1"/>
    </xf>
    <xf numFmtId="0" fontId="20" fillId="7" borderId="0" xfId="3" applyFont="1" applyFill="1" applyAlignment="1">
      <alignment horizontal="center" vertical="center" wrapText="1"/>
    </xf>
    <xf numFmtId="0" fontId="15" fillId="4" borderId="0" xfId="0" applyFont="1" applyFill="1" applyAlignment="1">
      <alignment horizontal="left" vertical="center" indent="1"/>
    </xf>
    <xf numFmtId="0" fontId="15" fillId="4" borderId="0" xfId="0" applyFont="1" applyFill="1" applyAlignment="1">
      <alignment horizontal="left" vertical="center" wrapText="1" indent="3"/>
    </xf>
    <xf numFmtId="0" fontId="20" fillId="7" borderId="0" xfId="0" applyFont="1" applyFill="1" applyAlignment="1">
      <alignment horizontal="center" vertical="center" wrapText="1"/>
    </xf>
    <xf numFmtId="166" fontId="20" fillId="7" borderId="0" xfId="0" applyNumberFormat="1" applyFont="1" applyFill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22" fillId="4" borderId="0" xfId="0" applyFont="1" applyFill="1" applyAlignment="1">
      <alignment horizontal="left" vertical="center" wrapText="1" indent="1"/>
    </xf>
    <xf numFmtId="0" fontId="3" fillId="0" borderId="8" xfId="0" applyFont="1" applyBorder="1"/>
    <xf numFmtId="0" fontId="23" fillId="8" borderId="0" xfId="3" applyFont="1" applyFill="1"/>
    <xf numFmtId="0" fontId="24" fillId="0" borderId="0" xfId="0" applyFont="1" applyAlignment="1">
      <alignment horizontal="center" vertical="center"/>
    </xf>
    <xf numFmtId="2" fontId="25" fillId="0" borderId="0" xfId="0" applyNumberFormat="1" applyFont="1" applyAlignment="1">
      <alignment horizontal="right" vertical="center"/>
    </xf>
    <xf numFmtId="0" fontId="24" fillId="2" borderId="0" xfId="0" applyFont="1" applyFill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2" fontId="28" fillId="9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 wrapText="1"/>
    </xf>
    <xf numFmtId="2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2" fontId="28" fillId="0" borderId="0" xfId="0" applyNumberFormat="1" applyFont="1" applyAlignment="1">
      <alignment horizontal="center"/>
    </xf>
    <xf numFmtId="0" fontId="0" fillId="2" borderId="1" xfId="0" applyFill="1" applyBorder="1"/>
    <xf numFmtId="0" fontId="27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/>
    </xf>
    <xf numFmtId="2" fontId="0" fillId="0" borderId="4" xfId="0" applyNumberFormat="1" applyBorder="1" applyAlignment="1">
      <alignment horizontal="center" wrapText="1"/>
    </xf>
    <xf numFmtId="170" fontId="0" fillId="0" borderId="4" xfId="0" applyNumberFormat="1" applyBorder="1" applyAlignment="1">
      <alignment horizontal="center"/>
    </xf>
    <xf numFmtId="170" fontId="4" fillId="0" borderId="0" xfId="2" applyNumberFormat="1" applyBorder="1"/>
    <xf numFmtId="0" fontId="29" fillId="2" borderId="4" xfId="0" applyFont="1" applyFill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170" fontId="4" fillId="0" borderId="4" xfId="2" applyNumberFormat="1" applyBorder="1"/>
    <xf numFmtId="0" fontId="24" fillId="0" borderId="4" xfId="0" applyFont="1" applyBorder="1" applyAlignment="1">
      <alignment horizontal="center" vertical="center"/>
    </xf>
    <xf numFmtId="2" fontId="0" fillId="0" borderId="0" xfId="0" applyNumberFormat="1" applyAlignment="1">
      <alignment wrapText="1"/>
    </xf>
    <xf numFmtId="0" fontId="0" fillId="0" borderId="4" xfId="0" applyBorder="1" applyAlignment="1">
      <alignment wrapText="1"/>
    </xf>
    <xf numFmtId="0" fontId="24" fillId="2" borderId="9" xfId="0" applyFont="1" applyFill="1" applyBorder="1" applyAlignment="1">
      <alignment horizontal="center"/>
    </xf>
    <xf numFmtId="0" fontId="0" fillId="2" borderId="12" xfId="0" applyFill="1" applyBorder="1"/>
    <xf numFmtId="170" fontId="0" fillId="0" borderId="0" xfId="2" applyNumberFormat="1" applyFont="1" applyBorder="1" applyProtection="1"/>
    <xf numFmtId="170" fontId="0" fillId="0" borderId="0" xfId="0" applyNumberFormat="1"/>
    <xf numFmtId="170" fontId="0" fillId="0" borderId="4" xfId="2" applyNumberFormat="1" applyFont="1" applyBorder="1" applyProtection="1"/>
    <xf numFmtId="170" fontId="0" fillId="0" borderId="4" xfId="0" applyNumberFormat="1" applyBorder="1"/>
    <xf numFmtId="0" fontId="24" fillId="2" borderId="4" xfId="0" applyFont="1" applyFill="1" applyBorder="1" applyAlignment="1">
      <alignment horizontal="center"/>
    </xf>
    <xf numFmtId="0" fontId="14" fillId="3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left" vertical="center" wrapText="1" indent="1"/>
    </xf>
    <xf numFmtId="0" fontId="18" fillId="5" borderId="0" xfId="0" applyFont="1" applyFill="1" applyAlignment="1">
      <alignment horizontal="left" vertical="center" wrapText="1"/>
    </xf>
    <xf numFmtId="0" fontId="19" fillId="6" borderId="0" xfId="0" applyFont="1" applyFill="1" applyAlignment="1">
      <alignment horizontal="left" vertical="center" indent="1"/>
    </xf>
    <xf numFmtId="0" fontId="21" fillId="8" borderId="0" xfId="0" applyFont="1" applyFill="1" applyAlignment="1">
      <alignment horizontal="left" vertical="center" wrapText="1" indent="1"/>
    </xf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4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5" fontId="0" fillId="0" borderId="4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6" fillId="0" borderId="0" xfId="0" applyFont="1" applyAlignment="1">
      <alignment horizontal="left" vertical="top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9" fillId="2" borderId="9" xfId="0" applyFont="1" applyFill="1" applyBorder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/>
    </xf>
    <xf numFmtId="0" fontId="29" fillId="2" borderId="10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24" fillId="2" borderId="9" xfId="0" applyFont="1" applyFill="1" applyBorder="1" applyAlignment="1">
      <alignment horizontal="center"/>
    </xf>
    <xf numFmtId="0" fontId="24" fillId="2" borderId="12" xfId="0" applyFont="1" applyFill="1" applyBorder="1" applyAlignment="1">
      <alignment horizontal="center"/>
    </xf>
  </cellXfs>
  <cellStyles count="4">
    <cellStyle name="Hipervínculo" xfId="3" xr:uid="{00000000-0005-0000-0000-000000000000}"/>
    <cellStyle name="Normal" xfId="0" builtinId="0"/>
    <cellStyle name="Normal 2" xfId="1" xr:uid="{00000000-0005-0000-0000-000002000000}"/>
    <cellStyle name="Percent" xfId="2" builtinId="5"/>
  </cellStyles>
  <dxfs count="1">
    <dxf>
      <font>
        <color rgb="FFFF0000"/>
      </font>
    </dxf>
  </dxfs>
  <tableStyles count="0" defaultTableStyle="TableStyleMedium2" defaultPivotStyle="PivotStyleMedium9"/>
  <colors>
    <mruColors>
      <color rgb="FF29E6D1"/>
      <color rgb="FF29C5D1"/>
      <color rgb="FF40A6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3"/>
              <c:pt idx="0">
                <c:v>0.1144</c:v>
              </c:pt>
              <c:pt idx="1">
                <c:v>0.45829999999999999</c:v>
              </c:pt>
              <c:pt idx="2">
                <c:v>0.42730000000000001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strLit>
                    <c:ptCount val="3"/>
                    <c:pt idx="0">
                      <c:v>Sector Primario</c:v>
                    </c:pt>
                    <c:pt idx="1">
                      <c:v>Sector Secundario</c:v>
                    </c:pt>
                    <c:pt idx="2">
                      <c:v>Sector Terciario</c:v>
                    </c:pt>
                  </c:strLit>
                </c15:cat>
              </c15:filteredCategoryTitle>
            </c:ext>
            <c:ext xmlns:c16="http://schemas.microsoft.com/office/drawing/2014/chart" uri="{C3380CC4-5D6E-409C-BE32-E72D297353CC}">
              <c16:uniqueId val="{00000000-C5C1-47D9-A144-136574D3239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205240"/>
        <c:axId val="162209160"/>
      </c:barChart>
      <c:catAx>
        <c:axId val="162205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2209160"/>
        <c:crosses val="autoZero"/>
        <c:auto val="1"/>
        <c:lblAlgn val="ctr"/>
        <c:lblOffset val="100"/>
        <c:noMultiLvlLbl val="0"/>
      </c:catAx>
      <c:valAx>
        <c:axId val="162209160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2205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Psicológica</c:v>
              </c:pt>
              <c:pt idx="1">
                <c:v>Física</c:v>
              </c:pt>
              <c:pt idx="2">
                <c:v>Sexual</c:v>
              </c:pt>
              <c:pt idx="3">
                <c:v>Total</c:v>
              </c:pt>
            </c:strLit>
          </c:cat>
          <c:val>
            <c:numLit>
              <c:formatCode>General</c:formatCode>
              <c:ptCount val="4"/>
              <c:pt idx="0">
                <c:v>22.1</c:v>
              </c:pt>
              <c:pt idx="1">
                <c:v>25.9</c:v>
              </c:pt>
              <c:pt idx="2">
                <c:v>3.9</c:v>
              </c:pt>
              <c:pt idx="3">
                <c:v>36.200000000000003</c:v>
              </c:pt>
            </c:numLit>
          </c:val>
          <c:extLst>
            <c:ext xmlns:c16="http://schemas.microsoft.com/office/drawing/2014/chart" uri="{C3380CC4-5D6E-409C-BE32-E72D297353CC}">
              <c16:uniqueId val="{00000000-D2D3-45EF-9F3F-819306F9650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87611600"/>
        <c:axId val="387614736"/>
      </c:barChart>
      <c:catAx>
        <c:axId val="38761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614736"/>
        <c:crosses val="autoZero"/>
        <c:auto val="1"/>
        <c:lblAlgn val="ctr"/>
        <c:lblOffset val="100"/>
        <c:noMultiLvlLbl val="0"/>
      </c:catAx>
      <c:valAx>
        <c:axId val="38761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611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Abandono Padre</c:v>
              </c:pt>
              <c:pt idx="1">
                <c:v>Abandono Madre</c:v>
              </c:pt>
              <c:pt idx="2">
                <c:v>Abandono Ambos</c:v>
              </c:pt>
              <c:pt idx="4">
                <c:v>Migración Padre</c:v>
              </c:pt>
              <c:pt idx="5">
                <c:v>Migración Madre</c:v>
              </c:pt>
              <c:pt idx="6">
                <c:v>Migración Ambos</c:v>
              </c:pt>
              <c:pt idx="8">
                <c:v>Muerte Padre</c:v>
              </c:pt>
              <c:pt idx="9">
                <c:v>Muerte Madre</c:v>
              </c:pt>
              <c:pt idx="10">
                <c:v>Muerte Ambos</c:v>
              </c:pt>
            </c:strLit>
          </c:cat>
          <c:val>
            <c:numLit>
              <c:formatCode>General</c:formatCode>
              <c:ptCount val="12"/>
              <c:pt idx="0">
                <c:v>78.7</c:v>
              </c:pt>
              <c:pt idx="1">
                <c:v>7.1</c:v>
              </c:pt>
              <c:pt idx="2">
                <c:v>14.2</c:v>
              </c:pt>
              <c:pt idx="4">
                <c:v>64.599999999999994</c:v>
              </c:pt>
              <c:pt idx="5">
                <c:v>22.2</c:v>
              </c:pt>
              <c:pt idx="6">
                <c:v>13.2</c:v>
              </c:pt>
              <c:pt idx="8">
                <c:v>75.3</c:v>
              </c:pt>
              <c:pt idx="9">
                <c:v>18.100000000000001</c:v>
              </c:pt>
              <c:pt idx="10">
                <c:v>6.6</c:v>
              </c:pt>
            </c:numLit>
          </c:val>
          <c:extLst>
            <c:ext xmlns:c16="http://schemas.microsoft.com/office/drawing/2014/chart" uri="{C3380CC4-5D6E-409C-BE32-E72D297353CC}">
              <c16:uniqueId val="{00000000-FF1E-4847-8D58-D41985DB4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7615912"/>
        <c:axId val="162208768"/>
      </c:barChart>
      <c:catAx>
        <c:axId val="387615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208768"/>
        <c:crosses val="autoZero"/>
        <c:auto val="1"/>
        <c:lblAlgn val="ctr"/>
        <c:lblOffset val="100"/>
        <c:noMultiLvlLbl val="0"/>
      </c:catAx>
      <c:valAx>
        <c:axId val="16220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615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26960874076785"/>
          <c:y val="2.8537451847731349E-2"/>
          <c:w val="0.87741256180186777"/>
          <c:h val="0.8258279169183147"/>
        </c:manualLayout>
      </c:layout>
      <c:lineChart>
        <c:grouping val="standard"/>
        <c:varyColors val="0"/>
        <c:ser>
          <c:idx val="1"/>
          <c:order val="0"/>
          <c:tx>
            <c:v>Presupuesto MINSAL</c:v>
          </c:tx>
          <c:spPr>
            <a:ln w="31750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2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</c:numLit>
          </c:cat>
          <c:val>
            <c:numLit>
              <c:formatCode>General</c:formatCode>
              <c:ptCount val="12"/>
              <c:pt idx="0">
                <c:v>1</c:v>
              </c:pt>
              <c:pt idx="1">
                <c:v>0.99302549011854824</c:v>
              </c:pt>
              <c:pt idx="2">
                <c:v>1.1967195548061653</c:v>
              </c:pt>
              <c:pt idx="3">
                <c:v>1.3284500274450346</c:v>
              </c:pt>
              <c:pt idx="4">
                <c:v>1.4373482927360728</c:v>
              </c:pt>
              <c:pt idx="5">
                <c:v>1.4903894131854141</c:v>
              </c:pt>
              <c:pt idx="6">
                <c:v>1.5650515142672556</c:v>
              </c:pt>
              <c:pt idx="7">
                <c:v>1.5958788891232163</c:v>
              </c:pt>
              <c:pt idx="8">
                <c:v>1.600991320729398</c:v>
              </c:pt>
              <c:pt idx="9">
                <c:v>1.5822125340895905</c:v>
              </c:pt>
              <c:pt idx="10">
                <c:v>1.6830866762709991</c:v>
              </c:pt>
              <c:pt idx="11">
                <c:v>1.9264401233380002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5D2-4BB2-93EC-32D702A813A9}"/>
            </c:ext>
          </c:extLst>
        </c:ser>
        <c:ser>
          <c:idx val="2"/>
          <c:order val="1"/>
          <c:tx>
            <c:v>Presupuesto salud mental</c:v>
          </c:tx>
          <c:spPr>
            <a:ln w="31750" cap="rnd">
              <a:solidFill>
                <a:schemeClr val="dk1">
                  <a:tint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2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</c:numLit>
          </c:cat>
          <c:val>
            <c:numLit>
              <c:formatCode>General</c:formatCode>
              <c:ptCount val="12"/>
              <c:pt idx="0">
                <c:v>1</c:v>
              </c:pt>
              <c:pt idx="1">
                <c:v>1.0424362351799776</c:v>
              </c:pt>
              <c:pt idx="2">
                <c:v>1.1036759178988169</c:v>
              </c:pt>
              <c:pt idx="3">
                <c:v>1.2343628801214177</c:v>
              </c:pt>
              <c:pt idx="4">
                <c:v>1.2977446669532411</c:v>
              </c:pt>
              <c:pt idx="5">
                <c:v>1.3574083902279708</c:v>
              </c:pt>
              <c:pt idx="6">
                <c:v>1.429064414415496</c:v>
              </c:pt>
              <c:pt idx="7">
                <c:v>1.5088613948171647</c:v>
              </c:pt>
              <c:pt idx="8">
                <c:v>1.4051140334235483</c:v>
              </c:pt>
              <c:pt idx="9">
                <c:v>1.469571074870381</c:v>
              </c:pt>
              <c:pt idx="10">
                <c:v>1.6676310537855445</c:v>
              </c:pt>
              <c:pt idx="11">
                <c:v>1.9411887957388456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5D2-4BB2-93EC-32D702A8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207200"/>
        <c:axId val="162209552"/>
      </c:lineChart>
      <c:catAx>
        <c:axId val="162207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209552"/>
        <c:crosses val="autoZero"/>
        <c:auto val="1"/>
        <c:lblAlgn val="ctr"/>
        <c:lblOffset val="100"/>
        <c:noMultiLvlLbl val="0"/>
      </c:catAx>
      <c:valAx>
        <c:axId val="16220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Índice Presupuesto (2009=100)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20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Trastorno por el consumo de alcohol</c:v>
          </c:tx>
          <c:spPr>
            <a:ln w="2222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dk1">
                  <a:tint val="88500"/>
                </a:schemeClr>
              </a:solidFill>
              <a:ln w="9525">
                <a:solidFill>
                  <a:schemeClr val="dk1">
                    <a:tint val="88500"/>
                  </a:schemeClr>
                </a:solidFill>
                <a:round/>
              </a:ln>
              <a:effectLst/>
            </c:spPr>
          </c:marker>
          <c:cat>
            <c:numLit>
              <c:formatCode>General</c:formatCode>
              <c:ptCount val="18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</c:numLit>
          </c:cat>
          <c:val>
            <c:numLit>
              <c:formatCode>General</c:formatCode>
              <c:ptCount val="18"/>
              <c:pt idx="0">
                <c:v>1</c:v>
              </c:pt>
              <c:pt idx="1">
                <c:v>0.95626621223767982</c:v>
              </c:pt>
              <c:pt idx="2">
                <c:v>0.93808627374767961</c:v>
              </c:pt>
              <c:pt idx="3">
                <c:v>0.94786233607576686</c:v>
              </c:pt>
              <c:pt idx="4">
                <c:v>0.97481867840439307</c:v>
              </c:pt>
              <c:pt idx="5">
                <c:v>0.99422390709840547</c:v>
              </c:pt>
              <c:pt idx="6">
                <c:v>0.96836734354296605</c:v>
              </c:pt>
              <c:pt idx="7">
                <c:v>1.004966781432038</c:v>
              </c:pt>
              <c:pt idx="8">
                <c:v>0.96658409251692701</c:v>
              </c:pt>
              <c:pt idx="9">
                <c:v>0.94454187290502067</c:v>
              </c:pt>
              <c:pt idx="10">
                <c:v>0.90912301672561424</c:v>
              </c:pt>
              <c:pt idx="11">
                <c:v>0.8938434628820805</c:v>
              </c:pt>
              <c:pt idx="12">
                <c:v>0.87176481982529852</c:v>
              </c:pt>
              <c:pt idx="13">
                <c:v>0.88905852240572358</c:v>
              </c:pt>
              <c:pt idx="14">
                <c:v>0.94291180781108264</c:v>
              </c:pt>
              <c:pt idx="15">
                <c:v>0.96204211446694232</c:v>
              </c:pt>
              <c:pt idx="16">
                <c:v>0.97258250457500106</c:v>
              </c:pt>
              <c:pt idx="17">
                <c:v>0.98330756277837594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2EA-464E-BDA7-892C39DDCD47}"/>
            </c:ext>
          </c:extLst>
        </c:ser>
        <c:ser>
          <c:idx val="1"/>
          <c:order val="1"/>
          <c:tx>
            <c:v>Ansiedad</c:v>
          </c:tx>
          <c:spPr>
            <a:ln w="22225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dk1">
                  <a:tint val="55000"/>
                </a:schemeClr>
              </a:solidFill>
              <a:ln w="9525">
                <a:solidFill>
                  <a:schemeClr val="dk1">
                    <a:tint val="55000"/>
                  </a:schemeClr>
                </a:solidFill>
                <a:round/>
              </a:ln>
              <a:effectLst/>
            </c:spPr>
          </c:marker>
          <c:cat>
            <c:numLit>
              <c:formatCode>General</c:formatCode>
              <c:ptCount val="18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</c:numLit>
          </c:cat>
          <c:val>
            <c:numLit>
              <c:formatCode>General</c:formatCode>
              <c:ptCount val="18"/>
              <c:pt idx="0">
                <c:v>1</c:v>
              </c:pt>
              <c:pt idx="1">
                <c:v>1.0053198864398243</c:v>
              </c:pt>
              <c:pt idx="2">
                <c:v>1.0121149608799249</c:v>
              </c:pt>
              <c:pt idx="3">
                <c:v>1.0180671574964881</c:v>
              </c:pt>
              <c:pt idx="4">
                <c:v>1.0265677255733547</c:v>
              </c:pt>
              <c:pt idx="5">
                <c:v>1.0337253464282494</c:v>
              </c:pt>
              <c:pt idx="6">
                <c:v>1.0414873992559228</c:v>
              </c:pt>
              <c:pt idx="7">
                <c:v>1.0488457283075188</c:v>
              </c:pt>
              <c:pt idx="8">
                <c:v>1.0581153488918649</c:v>
              </c:pt>
              <c:pt idx="9">
                <c:v>1.0649658833380906</c:v>
              </c:pt>
              <c:pt idx="10">
                <c:v>1.0708970243095215</c:v>
              </c:pt>
              <c:pt idx="11">
                <c:v>1.0770733395436121</c:v>
              </c:pt>
              <c:pt idx="12">
                <c:v>1.0811058620806702</c:v>
              </c:pt>
              <c:pt idx="13">
                <c:v>1.0854240497664587</c:v>
              </c:pt>
              <c:pt idx="14">
                <c:v>1.0875058253643741</c:v>
              </c:pt>
              <c:pt idx="15">
                <c:v>1.0908251487819707</c:v>
              </c:pt>
              <c:pt idx="16">
                <c:v>1.0927314482241066</c:v>
              </c:pt>
              <c:pt idx="17">
                <c:v>1.0947444862721221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2EA-464E-BDA7-892C39DDCD47}"/>
            </c:ext>
          </c:extLst>
        </c:ser>
        <c:ser>
          <c:idx val="2"/>
          <c:order val="2"/>
          <c:tx>
            <c:v>Bipolaridad</c:v>
          </c:tx>
          <c:spPr>
            <a:ln w="22225" cap="rnd">
              <a:solidFill>
                <a:schemeClr val="dk1">
                  <a:tint val="75000"/>
                </a:schemeClr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dk1">
                  <a:tint val="75000"/>
                </a:schemeClr>
              </a:solidFill>
              <a:ln w="9525">
                <a:solidFill>
                  <a:schemeClr val="dk1">
                    <a:tint val="75000"/>
                  </a:schemeClr>
                </a:solidFill>
                <a:round/>
              </a:ln>
              <a:effectLst/>
            </c:spPr>
          </c:marker>
          <c:cat>
            <c:numLit>
              <c:formatCode>General</c:formatCode>
              <c:ptCount val="18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</c:numLit>
          </c:cat>
          <c:val>
            <c:numLit>
              <c:formatCode>General</c:formatCode>
              <c:ptCount val="18"/>
              <c:pt idx="0">
                <c:v>1</c:v>
              </c:pt>
              <c:pt idx="1">
                <c:v>1.0019065589590646</c:v>
              </c:pt>
              <c:pt idx="2">
                <c:v>1.0056948280470717</c:v>
              </c:pt>
              <c:pt idx="3">
                <c:v>1.0129780359909568</c:v>
              </c:pt>
              <c:pt idx="4">
                <c:v>1.0194479542273733</c:v>
              </c:pt>
              <c:pt idx="5">
                <c:v>1.0287180848293609</c:v>
              </c:pt>
              <c:pt idx="6">
                <c:v>1.0371337344292435</c:v>
              </c:pt>
              <c:pt idx="7">
                <c:v>1.0473098321910987</c:v>
              </c:pt>
              <c:pt idx="8">
                <c:v>1.0582760479134077</c:v>
              </c:pt>
              <c:pt idx="9">
                <c:v>1.0693004353686735</c:v>
              </c:pt>
              <c:pt idx="10">
                <c:v>1.0806494856417814</c:v>
              </c:pt>
              <c:pt idx="11">
                <c:v>1.0909911794032003</c:v>
              </c:pt>
              <c:pt idx="12">
                <c:v>1.1008973827894986</c:v>
              </c:pt>
              <c:pt idx="13">
                <c:v>1.1076620357614135</c:v>
              </c:pt>
              <c:pt idx="14">
                <c:v>1.1155185270399397</c:v>
              </c:pt>
              <c:pt idx="15">
                <c:v>1.1198831931394404</c:v>
              </c:pt>
              <c:pt idx="16">
                <c:v>1.1220605028691735</c:v>
              </c:pt>
              <c:pt idx="17">
                <c:v>1.1247440459809532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2EA-464E-BDA7-892C39DDCD47}"/>
            </c:ext>
          </c:extLst>
        </c:ser>
        <c:ser>
          <c:idx val="3"/>
          <c:order val="3"/>
          <c:tx>
            <c:v>Trasnorno por el consumo de drogas</c:v>
          </c:tx>
          <c:spPr>
            <a:ln w="22225" cap="rnd">
              <a:solidFill>
                <a:schemeClr val="dk1">
                  <a:tint val="98500"/>
                </a:schemeClr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chemeClr val="dk1">
                    <a:tint val="98500"/>
                  </a:schemeClr>
                </a:solidFill>
                <a:round/>
              </a:ln>
              <a:effectLst/>
            </c:spPr>
          </c:marker>
          <c:cat>
            <c:numLit>
              <c:formatCode>General</c:formatCode>
              <c:ptCount val="18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</c:numLit>
          </c:cat>
          <c:val>
            <c:numLit>
              <c:formatCode>General</c:formatCode>
              <c:ptCount val="18"/>
              <c:pt idx="0">
                <c:v>1</c:v>
              </c:pt>
              <c:pt idx="1">
                <c:v>0.99544295595124943</c:v>
              </c:pt>
              <c:pt idx="2">
                <c:v>0.99364629078182731</c:v>
              </c:pt>
              <c:pt idx="3">
                <c:v>0.99923859225762701</c:v>
              </c:pt>
              <c:pt idx="4">
                <c:v>1.0047850242209517</c:v>
              </c:pt>
              <c:pt idx="5">
                <c:v>1.0149468638527117</c:v>
              </c:pt>
              <c:pt idx="6">
                <c:v>1.0122312427438587</c:v>
              </c:pt>
              <c:pt idx="7">
                <c:v>1.0269741946644724</c:v>
              </c:pt>
              <c:pt idx="8">
                <c:v>1.0300347811800914</c:v>
              </c:pt>
              <c:pt idx="9">
                <c:v>1.0463665370490973</c:v>
              </c:pt>
              <c:pt idx="10">
                <c:v>1.0608790242894679</c:v>
              </c:pt>
              <c:pt idx="11">
                <c:v>1.0750922361179156</c:v>
              </c:pt>
              <c:pt idx="12">
                <c:v>1.0837560957649746</c:v>
              </c:pt>
              <c:pt idx="13">
                <c:v>1.1121157493112013</c:v>
              </c:pt>
              <c:pt idx="14">
                <c:v>1.1525312359468303</c:v>
              </c:pt>
              <c:pt idx="15">
                <c:v>1.1781383828757295</c:v>
              </c:pt>
              <c:pt idx="16">
                <c:v>1.2011974729482857</c:v>
              </c:pt>
              <c:pt idx="17">
                <c:v>1.2239428947558704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2EA-464E-BDA7-892C39DDCD47}"/>
            </c:ext>
          </c:extLst>
        </c:ser>
        <c:ser>
          <c:idx val="4"/>
          <c:order val="4"/>
          <c:tx>
            <c:v>Distimia</c:v>
          </c:tx>
          <c:spPr>
            <a:ln w="22225" cap="rnd">
              <a:solidFill>
                <a:schemeClr val="dk1">
                  <a:tint val="30000"/>
                </a:schemeClr>
              </a:solidFill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dk1">
                    <a:tint val="30000"/>
                  </a:schemeClr>
                </a:solidFill>
                <a:round/>
              </a:ln>
              <a:effectLst/>
            </c:spPr>
          </c:marker>
          <c:cat>
            <c:numLit>
              <c:formatCode>General</c:formatCode>
              <c:ptCount val="18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</c:numLit>
          </c:cat>
          <c:val>
            <c:numLit>
              <c:formatCode>General</c:formatCode>
              <c:ptCount val="18"/>
              <c:pt idx="0">
                <c:v>1</c:v>
              </c:pt>
              <c:pt idx="1">
                <c:v>1.0075111861955555</c:v>
              </c:pt>
              <c:pt idx="2">
                <c:v>1.0154560591161494</c:v>
              </c:pt>
              <c:pt idx="3">
                <c:v>1.0250218011261636</c:v>
              </c:pt>
              <c:pt idx="4">
                <c:v>1.0364379970517712</c:v>
              </c:pt>
              <c:pt idx="5">
                <c:v>1.0473437584175402</c:v>
              </c:pt>
              <c:pt idx="6">
                <c:v>1.0588321683558093</c:v>
              </c:pt>
              <c:pt idx="7">
                <c:v>1.0709783532293737</c:v>
              </c:pt>
              <c:pt idx="8">
                <c:v>1.0833507678080894</c:v>
              </c:pt>
              <c:pt idx="9">
                <c:v>1.0973516470714495</c:v>
              </c:pt>
              <c:pt idx="10">
                <c:v>1.1091606929884872</c:v>
              </c:pt>
              <c:pt idx="11">
                <c:v>1.1211696421735684</c:v>
              </c:pt>
              <c:pt idx="12">
                <c:v>1.1344931216685106</c:v>
              </c:pt>
              <c:pt idx="13">
                <c:v>1.147821302791892</c:v>
              </c:pt>
              <c:pt idx="14">
                <c:v>1.1589294714738654</c:v>
              </c:pt>
              <c:pt idx="15">
                <c:v>1.1689553620199109</c:v>
              </c:pt>
              <c:pt idx="16">
                <c:v>1.1806003233442572</c:v>
              </c:pt>
              <c:pt idx="17">
                <c:v>1.1905135980997072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2EA-464E-BDA7-892C39DDCD47}"/>
            </c:ext>
          </c:extLst>
        </c:ser>
        <c:ser>
          <c:idx val="5"/>
          <c:order val="5"/>
          <c:tx>
            <c:v>Trastornos alimenticios</c:v>
          </c:tx>
          <c:spPr>
            <a:ln w="22225" cap="rnd">
              <a:solidFill>
                <a:schemeClr val="dk1">
                  <a:tint val="6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dk1">
                  <a:tint val="60000"/>
                </a:schemeClr>
              </a:solidFill>
              <a:ln w="9525">
                <a:solidFill>
                  <a:schemeClr val="dk1">
                    <a:tint val="60000"/>
                  </a:schemeClr>
                </a:solidFill>
                <a:round/>
              </a:ln>
              <a:effectLst/>
            </c:spPr>
          </c:marker>
          <c:cat>
            <c:numLit>
              <c:formatCode>General</c:formatCode>
              <c:ptCount val="18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</c:numLit>
          </c:cat>
          <c:val>
            <c:numLit>
              <c:formatCode>General</c:formatCode>
              <c:ptCount val="18"/>
              <c:pt idx="0">
                <c:v>1</c:v>
              </c:pt>
              <c:pt idx="1">
                <c:v>1.0085289696812205</c:v>
              </c:pt>
              <c:pt idx="2">
                <c:v>1.0156025785213412</c:v>
              </c:pt>
              <c:pt idx="3">
                <c:v>1.0277498709246657</c:v>
              </c:pt>
              <c:pt idx="4">
                <c:v>1.0384045632264778</c:v>
              </c:pt>
              <c:pt idx="5">
                <c:v>1.0522029865582825</c:v>
              </c:pt>
              <c:pt idx="6">
                <c:v>1.0689797438059849</c:v>
              </c:pt>
              <c:pt idx="7">
                <c:v>1.0841252848830136</c:v>
              </c:pt>
              <c:pt idx="8">
                <c:v>1.1011250269335107</c:v>
              </c:pt>
              <c:pt idx="9">
                <c:v>1.1199771291422445</c:v>
              </c:pt>
              <c:pt idx="10">
                <c:v>1.1373986305610584</c:v>
              </c:pt>
              <c:pt idx="11">
                <c:v>1.1546069036223756</c:v>
              </c:pt>
              <c:pt idx="12">
                <c:v>1.1705378167652933</c:v>
              </c:pt>
              <c:pt idx="13">
                <c:v>1.1882854548633368</c:v>
              </c:pt>
              <c:pt idx="14">
                <c:v>1.2052274669087126</c:v>
              </c:pt>
              <c:pt idx="15">
                <c:v>1.2186995715180984</c:v>
              </c:pt>
              <c:pt idx="16">
                <c:v>1.2324023606879606</c:v>
              </c:pt>
              <c:pt idx="17">
                <c:v>1.2433838013202743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2EA-464E-BDA7-892C39DDCD47}"/>
            </c:ext>
          </c:extLst>
        </c:ser>
        <c:ser>
          <c:idx val="6"/>
          <c:order val="6"/>
          <c:tx>
            <c:v>Trastorno depresivo mayor</c:v>
          </c:tx>
          <c:spPr>
            <a:ln w="22225" cap="rnd">
              <a:solidFill>
                <a:schemeClr val="dk1">
                  <a:tint val="80000"/>
                </a:schemeClr>
              </a:solidFill>
              <a:round/>
            </a:ln>
            <a:effectLst/>
          </c:spPr>
          <c:marker>
            <c:symbol val="plus"/>
            <c:size val="6"/>
            <c:spPr>
              <a:noFill/>
              <a:ln w="9525">
                <a:solidFill>
                  <a:schemeClr val="dk1">
                    <a:tint val="80000"/>
                  </a:schemeClr>
                </a:solidFill>
                <a:round/>
              </a:ln>
              <a:effectLst/>
            </c:spPr>
          </c:marker>
          <c:cat>
            <c:numLit>
              <c:formatCode>General</c:formatCode>
              <c:ptCount val="18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</c:numLit>
          </c:cat>
          <c:val>
            <c:numLit>
              <c:formatCode>General</c:formatCode>
              <c:ptCount val="18"/>
              <c:pt idx="0">
                <c:v>1</c:v>
              </c:pt>
              <c:pt idx="1">
                <c:v>0.99746724536295783</c:v>
              </c:pt>
              <c:pt idx="2">
                <c:v>0.99700440118021205</c:v>
              </c:pt>
              <c:pt idx="3">
                <c:v>0.99658170577533733</c:v>
              </c:pt>
              <c:pt idx="4">
                <c:v>0.99676936803748784</c:v>
              </c:pt>
              <c:pt idx="5">
                <c:v>1.0001305083576995</c:v>
              </c:pt>
              <c:pt idx="6">
                <c:v>1.004298538945555</c:v>
              </c:pt>
              <c:pt idx="7">
                <c:v>1.0084326708679265</c:v>
              </c:pt>
              <c:pt idx="8">
                <c:v>1.0147487169084188</c:v>
              </c:pt>
              <c:pt idx="9">
                <c:v>1.0213971970463507</c:v>
              </c:pt>
              <c:pt idx="10">
                <c:v>1.0297201584659452</c:v>
              </c:pt>
              <c:pt idx="11">
                <c:v>1.0377445961585845</c:v>
              </c:pt>
              <c:pt idx="12">
                <c:v>1.0449333755632184</c:v>
              </c:pt>
              <c:pt idx="13">
                <c:v>1.0519096849089029</c:v>
              </c:pt>
              <c:pt idx="14">
                <c:v>1.0584405080194283</c:v>
              </c:pt>
              <c:pt idx="15">
                <c:v>1.0638248784511235</c:v>
              </c:pt>
              <c:pt idx="16">
                <c:v>1.0696936928901362</c:v>
              </c:pt>
              <c:pt idx="17">
                <c:v>1.0735516197136139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72EA-464E-BDA7-892C39DDCD47}"/>
            </c:ext>
          </c:extLst>
        </c:ser>
        <c:ser>
          <c:idx val="7"/>
          <c:order val="7"/>
          <c:tx>
            <c:v>Autolesiones</c:v>
          </c:tx>
          <c:spPr>
            <a:ln w="2222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dot"/>
            <c:size val="6"/>
            <c:spPr>
              <a:solidFill>
                <a:schemeClr val="dk1">
                  <a:tint val="88500"/>
                </a:schemeClr>
              </a:solidFill>
              <a:ln w="9525">
                <a:solidFill>
                  <a:schemeClr val="dk1">
                    <a:tint val="88500"/>
                  </a:schemeClr>
                </a:solidFill>
                <a:round/>
              </a:ln>
              <a:effectLst/>
            </c:spPr>
          </c:marker>
          <c:cat>
            <c:numLit>
              <c:formatCode>General</c:formatCode>
              <c:ptCount val="18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</c:numLit>
          </c:cat>
          <c:val>
            <c:numLit>
              <c:formatCode>General</c:formatCode>
              <c:ptCount val="18"/>
              <c:pt idx="0">
                <c:v>1</c:v>
              </c:pt>
              <c:pt idx="1">
                <c:v>0.96667196885442064</c:v>
              </c:pt>
              <c:pt idx="2">
                <c:v>0.92273789543319851</c:v>
              </c:pt>
              <c:pt idx="3">
                <c:v>0.92213996124862219</c:v>
              </c:pt>
              <c:pt idx="4">
                <c:v>0.9383799472861557</c:v>
              </c:pt>
              <c:pt idx="5">
                <c:v>0.94166223881021238</c:v>
              </c:pt>
              <c:pt idx="6">
                <c:v>0.90139647423043423</c:v>
              </c:pt>
              <c:pt idx="7">
                <c:v>0.94592807237612853</c:v>
              </c:pt>
              <c:pt idx="8">
                <c:v>0.91196418910086008</c:v>
              </c:pt>
              <c:pt idx="9">
                <c:v>0.92043708820218195</c:v>
              </c:pt>
              <c:pt idx="10">
                <c:v>0.8968045697901984</c:v>
              </c:pt>
              <c:pt idx="11">
                <c:v>0.91484962378886647</c:v>
              </c:pt>
              <c:pt idx="12">
                <c:v>0.86726722056601846</c:v>
              </c:pt>
              <c:pt idx="13">
                <c:v>0.90610798696807426</c:v>
              </c:pt>
              <c:pt idx="14">
                <c:v>0.99981112980616382</c:v>
              </c:pt>
              <c:pt idx="15">
                <c:v>1.0278291828531556</c:v>
              </c:pt>
              <c:pt idx="16">
                <c:v>1.0130717718912454</c:v>
              </c:pt>
              <c:pt idx="17">
                <c:v>1.0026196810285595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72EA-464E-BDA7-892C39DDCD47}"/>
            </c:ext>
          </c:extLst>
        </c:ser>
        <c:ser>
          <c:idx val="8"/>
          <c:order val="8"/>
          <c:tx>
            <c:v>Total general</c:v>
          </c:tx>
          <c:spPr>
            <a:ln w="22225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dash"/>
            <c:size val="6"/>
            <c:spPr>
              <a:solidFill>
                <a:schemeClr val="dk1">
                  <a:tint val="55000"/>
                </a:schemeClr>
              </a:solidFill>
              <a:ln w="9525">
                <a:solidFill>
                  <a:schemeClr val="dk1">
                    <a:tint val="55000"/>
                  </a:schemeClr>
                </a:solidFill>
                <a:round/>
              </a:ln>
              <a:effectLst/>
            </c:spPr>
          </c:marker>
          <c:cat>
            <c:numLit>
              <c:formatCode>General</c:formatCode>
              <c:ptCount val="18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</c:numLit>
          </c:cat>
          <c:val>
            <c:numLit>
              <c:formatCode>General</c:formatCode>
              <c:ptCount val="18"/>
              <c:pt idx="0">
                <c:v>1</c:v>
              </c:pt>
              <c:pt idx="1">
                <c:v>0.97718957574950915</c:v>
              </c:pt>
              <c:pt idx="2">
                <c:v>0.96234391458940305</c:v>
              </c:pt>
              <c:pt idx="3">
                <c:v>0.96758589483491808</c:v>
              </c:pt>
              <c:pt idx="4">
                <c:v>0.98298842810027487</c:v>
              </c:pt>
              <c:pt idx="5">
                <c:v>0.99379201435110942</c:v>
              </c:pt>
              <c:pt idx="6">
                <c:v>0.97814908901091602</c:v>
              </c:pt>
              <c:pt idx="7">
                <c:v>1.0044456704506399</c:v>
              </c:pt>
              <c:pt idx="8">
                <c:v>0.98655400808280669</c:v>
              </c:pt>
              <c:pt idx="9">
                <c:v>0.98433986220441294</c:v>
              </c:pt>
              <c:pt idx="10">
                <c:v>0.97049242651642353</c:v>
              </c:pt>
              <c:pt idx="11">
                <c:v>0.972649211524657</c:v>
              </c:pt>
              <c:pt idx="12">
                <c:v>0.95789519595428985</c:v>
              </c:pt>
              <c:pt idx="13">
                <c:v>0.97687510823906776</c:v>
              </c:pt>
              <c:pt idx="14">
                <c:v>1.0212952692950037</c:v>
              </c:pt>
              <c:pt idx="15">
                <c:v>1.0378679113365086</c:v>
              </c:pt>
              <c:pt idx="16">
                <c:v>1.0420528161688163</c:v>
              </c:pt>
              <c:pt idx="17">
                <c:v>1.0468119269767699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72EA-464E-BDA7-892C39DDC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207592"/>
        <c:axId val="162208376"/>
      </c:lineChart>
      <c:catAx>
        <c:axId val="162207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208376"/>
        <c:crosses val="autoZero"/>
        <c:auto val="1"/>
        <c:lblAlgn val="ctr"/>
        <c:lblOffset val="100"/>
        <c:noMultiLvlLbl val="0"/>
      </c:catAx>
      <c:valAx>
        <c:axId val="162208376"/>
        <c:scaling>
          <c:orientation val="minMax"/>
          <c:min val="0.8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 Índice de los  AVAD (2000=1)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207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4156566500089519"/>
          <c:y val="6.5917556341344413E-2"/>
          <c:w val="0.62260227432480986"/>
          <c:h val="0.7445576483327615"/>
        </c:manualLayout>
      </c:layout>
      <c:barChart>
        <c:barDir val="bar"/>
        <c:grouping val="clustered"/>
        <c:varyColors val="0"/>
        <c:ser>
          <c:idx val="0"/>
          <c:order val="0"/>
          <c:tx>
            <c:v>Mujeres</c:v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8"/>
              <c:pt idx="0">
                <c:v>Trastorno por el consumo de alcohol</c:v>
              </c:pt>
              <c:pt idx="1">
                <c:v>Ansiedad</c:v>
              </c:pt>
              <c:pt idx="2">
                <c:v>Bipolaridad</c:v>
              </c:pt>
              <c:pt idx="3">
                <c:v>Trasnorno por el consumo de drogas</c:v>
              </c:pt>
              <c:pt idx="4">
                <c:v>Distimia</c:v>
              </c:pt>
              <c:pt idx="5">
                <c:v>Trastornos alimenticios</c:v>
              </c:pt>
              <c:pt idx="6">
                <c:v>Trastorno depresivo mayor</c:v>
              </c:pt>
              <c:pt idx="7">
                <c:v>Autolesiones</c:v>
              </c:pt>
            </c:strLit>
          </c:cat>
          <c:val>
            <c:numLit>
              <c:formatCode>General</c:formatCode>
              <c:ptCount val="8"/>
              <c:pt idx="0">
                <c:v>7.0613506335518827E-2</c:v>
              </c:pt>
              <c:pt idx="1">
                <c:v>0.6415173088799373</c:v>
              </c:pt>
              <c:pt idx="2">
                <c:v>0.55335251166760668</c:v>
              </c:pt>
              <c:pt idx="3">
                <c:v>0.40536754555391918</c:v>
              </c:pt>
              <c:pt idx="4">
                <c:v>0.54600158010309829</c:v>
              </c:pt>
              <c:pt idx="5">
                <c:v>0.73507625465494997</c:v>
              </c:pt>
              <c:pt idx="6">
                <c:v>0.6492832321383365</c:v>
              </c:pt>
              <c:pt idx="7">
                <c:v>0.25377465363669499</c:v>
              </c:pt>
            </c:numLit>
          </c:val>
          <c:extLst>
            <c:ext xmlns:c16="http://schemas.microsoft.com/office/drawing/2014/chart" uri="{C3380CC4-5D6E-409C-BE32-E72D297353CC}">
              <c16:uniqueId val="{00000000-BDBE-4A3F-8A56-7A24BA510627}"/>
            </c:ext>
          </c:extLst>
        </c:ser>
        <c:ser>
          <c:idx val="1"/>
          <c:order val="1"/>
          <c:tx>
            <c:v>Hombres</c:v>
          </c:tx>
          <c:spPr>
            <a:solidFill>
              <a:schemeClr val="accent3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8"/>
              <c:pt idx="0">
                <c:v>Trastorno por el consumo de alcohol</c:v>
              </c:pt>
              <c:pt idx="1">
                <c:v>Ansiedad</c:v>
              </c:pt>
              <c:pt idx="2">
                <c:v>Bipolaridad</c:v>
              </c:pt>
              <c:pt idx="3">
                <c:v>Trasnorno por el consumo de drogas</c:v>
              </c:pt>
              <c:pt idx="4">
                <c:v>Distimia</c:v>
              </c:pt>
              <c:pt idx="5">
                <c:v>Trastornos alimenticios</c:v>
              </c:pt>
              <c:pt idx="6">
                <c:v>Trastorno depresivo mayor</c:v>
              </c:pt>
              <c:pt idx="7">
                <c:v>Autolesiones</c:v>
              </c:pt>
            </c:strLit>
          </c:cat>
          <c:val>
            <c:numLit>
              <c:formatCode>General</c:formatCode>
              <c:ptCount val="8"/>
              <c:pt idx="0">
                <c:v>0.92938649366448112</c:v>
              </c:pt>
              <c:pt idx="1">
                <c:v>0.35848269112006281</c:v>
              </c:pt>
              <c:pt idx="2">
                <c:v>0.44664748833239337</c:v>
              </c:pt>
              <c:pt idx="3">
                <c:v>0.59463245444608082</c:v>
              </c:pt>
              <c:pt idx="4">
                <c:v>0.45399841989690182</c:v>
              </c:pt>
              <c:pt idx="5">
                <c:v>0.2649237453450502</c:v>
              </c:pt>
              <c:pt idx="6">
                <c:v>0.3507167678616635</c:v>
              </c:pt>
              <c:pt idx="7">
                <c:v>0.74622534636330506</c:v>
              </c:pt>
            </c:numLit>
          </c:val>
          <c:extLst>
            <c:ext xmlns:c16="http://schemas.microsoft.com/office/drawing/2014/chart" uri="{C3380CC4-5D6E-409C-BE32-E72D297353CC}">
              <c16:uniqueId val="{00000001-BDBE-4A3F-8A56-7A24BA5106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66735968"/>
        <c:axId val="366733224"/>
      </c:barChart>
      <c:catAx>
        <c:axId val="366735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733224"/>
        <c:crosses val="autoZero"/>
        <c:auto val="1"/>
        <c:lblAlgn val="ctr"/>
        <c:lblOffset val="100"/>
        <c:noMultiLvlLbl val="0"/>
      </c:catAx>
      <c:valAx>
        <c:axId val="366733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6735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"/>
              <c:pt idx="0">
                <c:v>Normal</c:v>
              </c:pt>
              <c:pt idx="1">
                <c:v>Total desnutrición aguda</c:v>
              </c:pt>
              <c:pt idx="2">
                <c:v>Total desnutrición moderada</c:v>
              </c:pt>
              <c:pt idx="3">
                <c:v>Total desnutrición severa</c:v>
              </c:pt>
              <c:pt idx="4">
                <c:v>Total sobrepeso y obesidad</c:v>
              </c:pt>
              <c:pt idx="5">
                <c:v>Sobrepeso</c:v>
              </c:pt>
              <c:pt idx="6">
                <c:v>Obesidad</c:v>
              </c:pt>
            </c:strLit>
          </c:cat>
          <c:val>
            <c:numLit>
              <c:formatCode>General</c:formatCode>
              <c:ptCount val="7"/>
              <c:pt idx="0">
                <c:v>67.430000000000007</c:v>
              </c:pt>
              <c:pt idx="1">
                <c:v>1.83</c:v>
              </c:pt>
              <c:pt idx="2">
                <c:v>1.45</c:v>
              </c:pt>
              <c:pt idx="3">
                <c:v>0.38</c:v>
              </c:pt>
              <c:pt idx="4">
                <c:v>30.74</c:v>
              </c:pt>
              <c:pt idx="5">
                <c:v>17.100000000000001</c:v>
              </c:pt>
              <c:pt idx="6">
                <c:v>13.64</c:v>
              </c:pt>
            </c:numLit>
          </c:val>
          <c:extLst>
            <c:ext xmlns:c16="http://schemas.microsoft.com/office/drawing/2014/chart" uri="{C3380CC4-5D6E-409C-BE32-E72D297353CC}">
              <c16:uniqueId val="{00000000-615D-4214-880D-B2173EBD1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87616304"/>
        <c:axId val="387610424"/>
      </c:barChart>
      <c:catAx>
        <c:axId val="387616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610424"/>
        <c:crosses val="autoZero"/>
        <c:auto val="1"/>
        <c:lblAlgn val="ctr"/>
        <c:lblOffset val="100"/>
        <c:noMultiLvlLbl val="0"/>
      </c:catAx>
      <c:valAx>
        <c:axId val="387610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616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Masculino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3"/>
              <c:pt idx="0">
                <c:v>2016</c:v>
              </c:pt>
              <c:pt idx="1">
                <c:v>2017</c:v>
              </c:pt>
              <c:pt idx="2">
                <c:v>2018</c:v>
              </c:pt>
            </c:numLit>
          </c:cat>
          <c:val>
            <c:numLit>
              <c:formatCode>General</c:formatCode>
              <c:ptCount val="3"/>
              <c:pt idx="0">
                <c:v>11897</c:v>
              </c:pt>
              <c:pt idx="1">
                <c:v>13496</c:v>
              </c:pt>
              <c:pt idx="2">
                <c:v>14844</c:v>
              </c:pt>
            </c:numLit>
          </c:val>
          <c:extLst>
            <c:ext xmlns:c16="http://schemas.microsoft.com/office/drawing/2014/chart" uri="{C3380CC4-5D6E-409C-BE32-E72D297353CC}">
              <c16:uniqueId val="{00000000-18C2-46CE-994D-96DA000F9F65}"/>
            </c:ext>
          </c:extLst>
        </c:ser>
        <c:ser>
          <c:idx val="1"/>
          <c:order val="1"/>
          <c:tx>
            <c:v>Femenino 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3"/>
              <c:pt idx="0">
                <c:v>2016</c:v>
              </c:pt>
              <c:pt idx="1">
                <c:v>2017</c:v>
              </c:pt>
              <c:pt idx="2">
                <c:v>2018</c:v>
              </c:pt>
            </c:numLit>
          </c:cat>
          <c:val>
            <c:numLit>
              <c:formatCode>General</c:formatCode>
              <c:ptCount val="3"/>
              <c:pt idx="0">
                <c:v>35684</c:v>
              </c:pt>
              <c:pt idx="1">
                <c:v>39851</c:v>
              </c:pt>
              <c:pt idx="2">
                <c:v>40700</c:v>
              </c:pt>
            </c:numLit>
          </c:val>
          <c:extLst>
            <c:ext xmlns:c16="http://schemas.microsoft.com/office/drawing/2014/chart" uri="{C3380CC4-5D6E-409C-BE32-E72D297353CC}">
              <c16:uniqueId val="{00000001-18C2-46CE-994D-96DA000F9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7614344"/>
        <c:axId val="387616696"/>
      </c:barChart>
      <c:catAx>
        <c:axId val="387614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616696"/>
        <c:crosses val="autoZero"/>
        <c:auto val="1"/>
        <c:lblAlgn val="ctr"/>
        <c:lblOffset val="100"/>
        <c:noMultiLvlLbl val="0"/>
      </c:catAx>
      <c:valAx>
        <c:axId val="387616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614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Masculino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3"/>
              <c:pt idx="0">
                <c:v>2016</c:v>
              </c:pt>
              <c:pt idx="1">
                <c:v>2017</c:v>
              </c:pt>
              <c:pt idx="2">
                <c:v>2018</c:v>
              </c:pt>
            </c:numLit>
          </c:cat>
          <c:val>
            <c:numLit>
              <c:formatCode>General</c:formatCode>
              <c:ptCount val="3"/>
              <c:pt idx="0">
                <c:v>44792</c:v>
              </c:pt>
              <c:pt idx="1">
                <c:v>42942</c:v>
              </c:pt>
              <c:pt idx="2">
                <c:v>45408</c:v>
              </c:pt>
            </c:numLit>
          </c:val>
          <c:extLst>
            <c:ext xmlns:c16="http://schemas.microsoft.com/office/drawing/2014/chart" uri="{C3380CC4-5D6E-409C-BE32-E72D297353CC}">
              <c16:uniqueId val="{00000000-118F-4AF0-8B3A-A5E4D442F566}"/>
            </c:ext>
          </c:extLst>
        </c:ser>
        <c:ser>
          <c:idx val="1"/>
          <c:order val="1"/>
          <c:tx>
            <c:v>Femenino 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3"/>
              <c:pt idx="0">
                <c:v>2016</c:v>
              </c:pt>
              <c:pt idx="1">
                <c:v>2017</c:v>
              </c:pt>
              <c:pt idx="2">
                <c:v>2018</c:v>
              </c:pt>
            </c:numLit>
          </c:cat>
          <c:val>
            <c:numLit>
              <c:formatCode>General</c:formatCode>
              <c:ptCount val="3"/>
              <c:pt idx="0">
                <c:v>31818</c:v>
              </c:pt>
              <c:pt idx="1">
                <c:v>30978</c:v>
              </c:pt>
              <c:pt idx="2">
                <c:v>32533</c:v>
              </c:pt>
            </c:numLit>
          </c:val>
          <c:extLst>
            <c:ext xmlns:c16="http://schemas.microsoft.com/office/drawing/2014/chart" uri="{C3380CC4-5D6E-409C-BE32-E72D297353CC}">
              <c16:uniqueId val="{00000001-118F-4AF0-8B3A-A5E4D442F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7609248"/>
        <c:axId val="387609640"/>
      </c:barChart>
      <c:catAx>
        <c:axId val="38760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609640"/>
        <c:crosses val="autoZero"/>
        <c:auto val="1"/>
        <c:lblAlgn val="ctr"/>
        <c:lblOffset val="100"/>
        <c:noMultiLvlLbl val="0"/>
      </c:catAx>
      <c:valAx>
        <c:axId val="387609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609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Masculino</c:v>
              </c:pt>
              <c:pt idx="1">
                <c:v>Femenino </c:v>
              </c:pt>
              <c:pt idx="2">
                <c:v>Total</c:v>
              </c:pt>
            </c:strLit>
          </c:cat>
          <c:val>
            <c:numLit>
              <c:formatCode>General</c:formatCode>
              <c:ptCount val="3"/>
              <c:pt idx="0">
                <c:v>325</c:v>
              </c:pt>
              <c:pt idx="1">
                <c:v>86</c:v>
              </c:pt>
              <c:pt idx="2">
                <c:v>411</c:v>
              </c:pt>
            </c:numLit>
          </c:val>
          <c:extLst>
            <c:ext xmlns:c16="http://schemas.microsoft.com/office/drawing/2014/chart" uri="{C3380CC4-5D6E-409C-BE32-E72D297353CC}">
              <c16:uniqueId val="{00000000-DE92-46AA-988D-B9F51AFC265D}"/>
            </c:ext>
          </c:extLst>
        </c:ser>
        <c:ser>
          <c:idx val="1"/>
          <c:order val="1"/>
          <c:tx>
            <c:v>2017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Masculino</c:v>
              </c:pt>
              <c:pt idx="1">
                <c:v>Femenino </c:v>
              </c:pt>
              <c:pt idx="2">
                <c:v>Total</c:v>
              </c:pt>
            </c:strLit>
          </c:cat>
          <c:val>
            <c:numLit>
              <c:formatCode>General</c:formatCode>
              <c:ptCount val="3"/>
              <c:pt idx="0">
                <c:v>367</c:v>
              </c:pt>
              <c:pt idx="1">
                <c:v>73</c:v>
              </c:pt>
              <c:pt idx="2">
                <c:v>440</c:v>
              </c:pt>
            </c:numLit>
          </c:val>
          <c:extLst>
            <c:ext xmlns:c16="http://schemas.microsoft.com/office/drawing/2014/chart" uri="{C3380CC4-5D6E-409C-BE32-E72D297353CC}">
              <c16:uniqueId val="{00000001-DE92-46AA-988D-B9F51AFC265D}"/>
            </c:ext>
          </c:extLst>
        </c:ser>
        <c:ser>
          <c:idx val="2"/>
          <c:order val="2"/>
          <c:tx>
            <c:v>2018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Masculino</c:v>
              </c:pt>
              <c:pt idx="1">
                <c:v>Femenino </c:v>
              </c:pt>
              <c:pt idx="2">
                <c:v>Total</c:v>
              </c:pt>
            </c:strLit>
          </c:cat>
          <c:val>
            <c:numLit>
              <c:formatCode>General</c:formatCode>
              <c:ptCount val="3"/>
              <c:pt idx="0">
                <c:v>380</c:v>
              </c:pt>
              <c:pt idx="1">
                <c:v>96</c:v>
              </c:pt>
              <c:pt idx="2">
                <c:v>476</c:v>
              </c:pt>
            </c:numLit>
          </c:val>
          <c:extLst>
            <c:ext xmlns:c16="http://schemas.microsoft.com/office/drawing/2014/chart" uri="{C3380CC4-5D6E-409C-BE32-E72D297353CC}">
              <c16:uniqueId val="{00000002-DE92-46AA-988D-B9F51AFC2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7610032"/>
        <c:axId val="387613560"/>
      </c:barChart>
      <c:catAx>
        <c:axId val="38761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613560"/>
        <c:crosses val="autoZero"/>
        <c:auto val="1"/>
        <c:lblAlgn val="ctr"/>
        <c:lblOffset val="100"/>
        <c:noMultiLvlLbl val="0"/>
      </c:catAx>
      <c:valAx>
        <c:axId val="387613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610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Cantidad de hombres víctimas de violencia intrafamiliar</c:v>
              </c:pt>
              <c:pt idx="1">
                <c:v>Cantidad de mujeres víctimas de violencia intrafamiliar</c:v>
              </c:pt>
              <c:pt idx="2">
                <c:v>Cantidad de niños víctimas de maltrato infantil</c:v>
              </c:pt>
              <c:pt idx="3">
                <c:v>Cantidad de niñas víctimas de maltrato infantil</c:v>
              </c:pt>
            </c:strLit>
          </c:cat>
          <c:val>
            <c:numLit>
              <c:formatCode>General</c:formatCode>
              <c:ptCount val="4"/>
              <c:pt idx="0">
                <c:v>169</c:v>
              </c:pt>
              <c:pt idx="1">
                <c:v>1483</c:v>
              </c:pt>
              <c:pt idx="2">
                <c:v>226</c:v>
              </c:pt>
              <c:pt idx="3">
                <c:v>245</c:v>
              </c:pt>
            </c:numLit>
          </c:val>
          <c:extLst>
            <c:ext xmlns:c16="http://schemas.microsoft.com/office/drawing/2014/chart" uri="{C3380CC4-5D6E-409C-BE32-E72D297353CC}">
              <c16:uniqueId val="{00000000-BE42-4407-BAE3-3FF8D5F7FA0F}"/>
            </c:ext>
          </c:extLst>
        </c:ser>
        <c:ser>
          <c:idx val="1"/>
          <c:order val="1"/>
          <c:tx>
            <c:v>2017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Cantidad de hombres víctimas de violencia intrafamiliar</c:v>
              </c:pt>
              <c:pt idx="1">
                <c:v>Cantidad de mujeres víctimas de violencia intrafamiliar</c:v>
              </c:pt>
              <c:pt idx="2">
                <c:v>Cantidad de niños víctimas de maltrato infantil</c:v>
              </c:pt>
              <c:pt idx="3">
                <c:v>Cantidad de niñas víctimas de maltrato infantil</c:v>
              </c:pt>
            </c:strLit>
          </c:cat>
          <c:val>
            <c:numLit>
              <c:formatCode>General</c:formatCode>
              <c:ptCount val="4"/>
              <c:pt idx="0">
                <c:v>158</c:v>
              </c:pt>
              <c:pt idx="1">
                <c:v>1344</c:v>
              </c:pt>
              <c:pt idx="2">
                <c:v>279</c:v>
              </c:pt>
              <c:pt idx="3">
                <c:v>318</c:v>
              </c:pt>
            </c:numLit>
          </c:val>
          <c:extLst>
            <c:ext xmlns:c16="http://schemas.microsoft.com/office/drawing/2014/chart" uri="{C3380CC4-5D6E-409C-BE32-E72D297353CC}">
              <c16:uniqueId val="{00000001-BE42-4407-BAE3-3FF8D5F7FA0F}"/>
            </c:ext>
          </c:extLst>
        </c:ser>
        <c:ser>
          <c:idx val="2"/>
          <c:order val="2"/>
          <c:tx>
            <c:v>2018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Cantidad de hombres víctimas de violencia intrafamiliar</c:v>
              </c:pt>
              <c:pt idx="1">
                <c:v>Cantidad de mujeres víctimas de violencia intrafamiliar</c:v>
              </c:pt>
              <c:pt idx="2">
                <c:v>Cantidad de niños víctimas de maltrato infantil</c:v>
              </c:pt>
              <c:pt idx="3">
                <c:v>Cantidad de niñas víctimas de maltrato infantil</c:v>
              </c:pt>
            </c:strLit>
          </c:cat>
          <c:val>
            <c:numLit>
              <c:formatCode>General</c:formatCode>
              <c:ptCount val="4"/>
              <c:pt idx="0">
                <c:v>170</c:v>
              </c:pt>
              <c:pt idx="1">
                <c:v>1308</c:v>
              </c:pt>
              <c:pt idx="2">
                <c:v>257</c:v>
              </c:pt>
              <c:pt idx="3">
                <c:v>330</c:v>
              </c:pt>
            </c:numLit>
          </c:val>
          <c:extLst>
            <c:ext xmlns:c16="http://schemas.microsoft.com/office/drawing/2014/chart" uri="{C3380CC4-5D6E-409C-BE32-E72D297353CC}">
              <c16:uniqueId val="{00000002-BE42-4407-BAE3-3FF8D5F7F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7610816"/>
        <c:axId val="387615128"/>
      </c:barChart>
      <c:catAx>
        <c:axId val="38761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615128"/>
        <c:crosses val="autoZero"/>
        <c:auto val="1"/>
        <c:lblAlgn val="ctr"/>
        <c:lblOffset val="100"/>
        <c:noMultiLvlLbl val="0"/>
      </c:catAx>
      <c:valAx>
        <c:axId val="387615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610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A1A39E0D-515E-4E99-9C0B-218882EACB0E}">
          <cx:tx>
            <cx:txData>
              <cx:f>_xlchart.v5.2</cx:f>
              <cx:v>Suicidios por
departamento</cx:v>
            </cx:txData>
          </cx:tx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600" b="1">
                    <a:solidFill>
                      <a:schemeClr val="bg1"/>
                    </a:solidFill>
                  </a:defRPr>
                </a:pPr>
                <a:endParaRPr lang="es-ES" sz="16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  <cx:layoutPr>
            <cx:geography cultureLanguage="es-ES" cultureRegion="CR" attribution="Con tecnología de Bing">
              <cx:geoCache provider="{E9337A44-BEBE-4D9F-B70C-5C5E7DAFC167}">
                <cx:binary>1HtZchxHtuVWaPxup9zD57JSmVXMmYmJBElR+gkDQSjm8Jin3bwltPUSamN9HRQlAqBIVT29ttaH
jEJmDO53OPfccz3/frv+7ba6u+mfrXXVDH+7Xb9/no1j+7fvvhtus7v6ZnhR57e9GczP44tbU39n
fv45v7377kN/s+RN+p2DCfvuNrvpx7v1+T/+Dk9L78yZub0Zc9O8nO767dXdMFXj8JXvvvjVs5sP
dd74+TD2+e1Ivn/uTQM8tfrXfzXPn901Yz5ur7f27vvnD657/uy7x0978uZnFSxunD7AvYS+UFRo
QQWnXDDG6fNnlWnSX75GSr/AjoOVxFoSIbXQn959cVPD/b+s6earS7pf0M2HD/3dMMCu7v99cOuD
HXz//Pqt9+b5s1szNaO1XgqG/P55UD27vqnmmw+mf/4sH4z38WvP2G1cv73f93cPrf+Pvz/6ACzx
6JPPHPTYbN/66ql/bt7f/Ot/3wyfLPTneEdhrAiRQnKpiPPIO+qFJJgSzYnGzHnqnT+wot9xzq93
PvXNP/+Cvjm7eXaWv7/rx5sPf6p7JObUIZSAC7BQ7JF79AsqJFGSf3rnx6T5g4v5smce3PzEOWdn
f03nvGnyf/2fr4KIxbX/weQFs17d7J/89N9PXUT4C4c6mDsKU0w15+RhcAj1gjgSYwBeLAWR5BGy
fntBvxsf9xt5FBpn/7x6EhmuqfI5v3kKp+7ll+H0Ibx+XkbYC6y5ZJRIDfngKNjMgzIiXyiFCVwh
sQTAcp5mxDes/29tNr44e7rb2DQfpt7C8+PqEV/8u9ulL5jUyhHagfTmmD/ernqhheJcO4ITCwH/
s769fvuF7f7/Xy+vb5rx5tk/GwjAP43OMEgqB8ql1sIhXD2ul/oFx+AUIDRMC6yp+vTqj8D8h1b0
5Uj87NZHmXf99vqvWDHfAGmdxj+bbFLJNcGSKy0dIsD8D1BCvWDwuRQUC8IdyqCefoyMj+75uKT/
hGv+ducT57y5foKLf4nUeXaep9Nd9clC//2KBa0AZ5hprqQDbgD0euIdB6rY72I4ZMAfWNPvZs+v
9z7x0PX5X9FDphlMczPe/akOgk5NQScmlLANweP00S+E0gz6OebcNwuPiuz1H1nS7/jnt1ufugfI
wl+uV/tnNt1A097+2fimuGaYSOwA3YH/f5RB+oUGZHOAEGJHP23XPi3qP0G4z+994qJ/xn9BF1k8
+a3j/9MYAn0hofQohwnGgSXgpz4ikjEphENBEiFcfErgXynCH1rV7+TRgz098dP1n1SLfpenO8DT
qRDS9qqKPJV7JIMKTDGXDvAkKbgAAvV5Bf6jPvlPdv/ANI8Axb3JbkCJe0rdXbDY08bwSaf45wo/
jxb3gC58HqcPrrtf50PHfEOYk9QRAhAfkEJTAnH4iCtBEXC4IBDHHIM29NBTf3BRX3bUg5sf7OL/
iQ73+23+rxbzb8ab4F4D/Uym+/q391sFbfbRrV/rPT468/ABdFLAbdA/wQm/yqv2OQ+S4zeS+aX7
7m6G8fvnSEHbTxT0jRiDZvSxE17uPn2lHNADoG1xJKdQKp4/a0w/ZvcyrQAJwQaCBHQiDLw9mOmX
rwiTChQGBn0NFYT+qkJfmWpLoXJ/2vkvfz9rpvrK5M04wIPhQe3Hy+w2OeeMUCqBfTMiILIIcIj2
9uYVKN326v9VVJsYK+XosJ/XCMsx4mTzuBwO+apdzlp3xcpNp8ZL9s0rmvefGewLrwcG84W3296M
MFtD6cO3722lUW7fjtvbhLde1WC3rpDrzP1ZOl/tWel+/YXkC28EVVspDvI2xhpbe3y2X1oY3edq
1mGeBEmZueOW+VmVheuS+QVrPDbsntrV/f/nvA8yZ4yYRGFPoiqbfUp5MG1FQLyvr8v5gh8erAuA
+PN1dQMhpp8XHbIZH/J6CVk5uGXTewkZgsIh3uycVWpzC9K7uHub8MQV5G3louaC4C2STe5j8V53
iY+4iLdhjb6+wPtAeBQoQEWhI4B+WzkQgg8XuKg+4WUNCxzqxC3o24YVrnRujSncJLmSyRtcD64q
r5TovJQhfxND2C1D1HKQbn5Nsi/EzJdCFvKGa6opZxAcj4KmqtU+O1kJQTMhd8znkE/II80YYDX4
WTb4Uk2HYTAhiOgxhs+/8X77/MeW+Pz90LV+7irkJBxNbaHDdjjfauHajFnE1VAtVxyxl7U0Hs+R
127YzZohKBviVSv61ipsYj5dBeADCNIK6sajQO7TrhhZk+kwLXu3XJU/IuTRGXlCa79v9kj0ZTz2
uysaDVHSBSRRbpU1XoEnvxDa/7pVAKu+upxH8buujUNVBUap28JtxQ1pe3dCm1sp/a0U/kKqAJ2T
IKFiZidVjyJRlU1SOEuiQgg/u/HWzC5tf0xq6b5mMvPrevLTWoZrm35jkxZ2n+7Sds2OBghh7FHo
yaRESVHCq8e18wQdgkXrgBLkFSwY1ibGL4smj5oUBQOpj5na3UmpmKI0UkMHZll8SOVoXtrzoRYx
MeoCj2VM+e6RwfEYHoON966D6pjWY2Aw8VCKPNl2gYZIWukYtORtr5K42Ap/H3WwdjKgVR8KZ7xg
g4cM/0acAT3+wo5Bx1WgsFGYTMH3n+GloWTqORcqNLB4uWtXb7m7L1lk2jomTeqvM0B2Tr7h5C++
VjAKtJRgzB+jDUJmKUnHVNhWEyBa45lhDKVOo5yJoKiHIBlUMKbON2DYCoKPtgtyFLTbhFBMKChT
D7froCVdKR1UOCU6gCuDTBYxgnf14PSGsouhbs/KlkYQnQFY7HKVLC7IfDArO7ajx3vj47QNc3DE
bsZgKUVsiAi0k4S9UxwREX6fmFd8ULmbT1M05dJfxdWI8CXl6UVxTnR1rHcZ7/1wpvb9VKf0SJMa
Or6vgaj80kYlpVY/gGiGYePDjdbNLDMy5mDgZAhVMoa0I26X7W6dpfe+Zng4subKlCRqJnoyS3uU
VeFrZ/e6RsQMFrvVgHgODwjl7/Q5y6sjrtmpXcTlvUWkDHnbHAaDD1XoCLh+GM741PqDc6cIvVRT
FvTZ6o5s8ZNCumlduVWqQ1H2YbvJOCfEzYrqoqfGlXoJ9moOqsrENgyKHh1RXvyY5OqQVqGO6qWO
dU2DZUPe0rVB51BXDMN1rWjnZmQ+y1geabOGNmN7n6DkIGsV99V+2Dn8qxW4OY2Stjk2yd3Y/bSb
FDKsjJPGxLNU37C/wF8ItM/tb/3zWV6JNUnKPS0grxawM0vCtHeO9Vq7eK0DPZSXqUkDU/yMROVu
UNfKVvhoQme7Kmd371d3WCo/SYZX+VKe7626mCoRl9lxSX+e6jHCFZTEvjl0vQkS0wXjnkVqm877
zW+m0udJGlmYNCo7m5PBX7AIWcsCVjfu2PxQbG04Jtl5XVRneG+v622IEABQzUe/yY23bWnM9HRw
SHaxVvpiJH6ajrEe02iDfADCezGMyGuqLcry9lU/s+PXw9ex5eRh9XOAAwADhumT1pBsD83XtStf
xmKXkGi9V7E+6BQQs5TEbChjphI34UuEO4ArJ/Go6d003yJutJs6UP0Mdp0qYCu2GB4aR/pptV82
S38AbP9GzSDiPpceLxaaN4ALUIoYtAEPF7tPQjesTES4r9pH+s0+Q/EYF6/NJ2+fMx/XwZbOh25O
gnnNgL6g87RZwjQJmlS5jayO0wbuAwjpnPq4FvuB79N5y4YIcuuDMXuEMvpya+VrMRWX8ixz6g8F
rX/McfIeNnXRGV825cWSJBe2hHSdvhza2p2T9rQWLEwdHPG1OTqljrXUEet52I6rL1CcOyHZm6OB
T9ZljwrknAhawq5FEdU6sp+xjpyqbfHG7gisIqrg8rxG9w8xSxf10EoMTtgjEo2OjBOzHXfWRyRj
gDImTLk/93ukCnKSAxio3aMpbWKenAadREmPo76oD61SUc3hXbk5CpHGznU3s7CET+y3SYNPTbmE
haoPYuEhq5I4rWRMyRqipDmkWsdoSWClmzuXzFWoPdq/s0XFybqEFPIk37qobrZjXvCwlOZo36zL
7LDXbtLyEK1vl10HqhLhyPBxJkPEU3PQjoqVo6KEbQGbL5MJbq50vHMZV0hHndhj1BSHslVxnezR
aOpDmsKW9jgZu9Dw8jBgyNEU+Mp2sTTrEQ6HBKSJ5SJjpElkljrMnVMODurBeBRA0eF24eJAt8uh
3t2UVgdFcYRwcxyMjp1dRbTsQnkqSq9thzDN2+OEquOQo6iZJ7CwCGUjD0uyHou1jlZ+LErwLODe
gFgozX7aKhoN1AnaAbCQn08Z8xNljrIoD12h4x6Xfkbf9P0U5UfrblqyICPNcZQyzoi7ZmuYGeLr
bHKBpZ46CB4GLBCnmZukW6yTU2tQKBJzXNbqYKOtypyo0TLuChqUpj6WPcQXA+IEnkmzJRxGHVvP
pgNE6KYOuVI/iqk94F2AQTCkgY5VycOsbyGa/S4pD6iU8TwQAL05FLKNFxWg3In6bY9s9EqnOVpv
WlfRcg3tE3vpRI6q7z8v0p/GeQzs5T0V91+3rQz3qjnXdA5WwNGc3qAa1jXs0dCLcCv2Y1lA1gAd
t0+ex9ct1X6NcLROxNvk4hbacVOZ+jYwC0lPaaUjsjlRJ3m4DKVL2tlDl+VFdtU72dnOuN9IFlhj
TGV9LMCudj12s2QboAiUnjWKNZTQW1zM5ljyItI1jliCo7Z+PZPC3bc7ewevuC8gVe2GVYOiQqXh
moeZWGLFUWB9N6VePou4BUeYuj7ad9vnzymkyQZJmC/B1l2VCyATZFSHUZSWx9Zpo52UB7ZtYV3I
uJYoakdzHPka2r13K3NX887G5wbWGqn2ypGHeWPO7ddL+/FFZe+VDolFouMUQUDAXu73UTsnLtbQ
rkkP10pQL11UZFJ9qCcVYQSVe7wrJubZhB3UHmUOpA9wb5XNYSvMyQb10B3q1IQmF/E9RkCtxxhH
Qm6eaN+sWMafkCsDG7f6ZedsgUUoGzG4yr1dULdLzcteQgb3LL/AJV/cGU9vU7KXPlnRK1kMrkPc
BpoAaE7CTI9hUmVxhrpXwpQXUMqOhaJXqxl9peo4226cQvo99Ii2XzOl24IHEs2C2UULiTm6HtTt
2CxRBgyfyCxu19abKx7QxISSJh5pV79m/sLrC/vuhDXBUk+HXKDziaeXZSlDhgp3LhpvX5iPRNN4
ZVVOHm71RVu/tZoOVAGvpn2Qgh4i8FuzXeF6jRJp0Tx7lQLVHpzu0Jsl2tvUXTWKsKEvydb6Ca59
0HQCTLmfAnFYxeDrZPPI3Hq9kPA58cW7ce3Dvt0DutNATx82nfl2t2yWPsXzqdu6sGF9WMCGS06P
TQY8sd7uu5hGrl6Lag/Rl7j+aXZSn2+7Wy7aFabw283d9+1ke5BukJfWuppvEYRv6k5LFi/UtToE
lclF2s4pZJbxZJ/4TTr7QFxC212hsvTWAUjsFKCmCjcEVdLJ/dH0Ac1fJgb5hRrDnaR+kcA2WOrt
CgVFsHDu92qLJ+XEU8UPHb1ziL+ADsEEcB7Yj+3ZRLNAXe/CiQAURGzsvK7vr+Z8e0VzFmuTHKwl
mk4FFegDeDZ+Lg8Epz6h0Ox1KhxSfp6W6Hoe0tca/M6hm60Z0DQKBaBvD32Conmr35lqebNNP/AV
4BFcyvf6UG9rTAhkLGp/QJs6JvhCZvJAATH7Tl2zBZ3xuT0tm/KGNPWzjp47kzrUvIhTDi3PICLJ
gTE1gFZ7ZFgRzwpFiW4j3jShGc6hinvb0Bx26HSYbqAb7n3odvwCuvF97Xq30a0rE4z9hlIINkBw
joBJjG+2TfobmiLD22Dl0Drs0jX57iaVOptL8k7jBZzU/TA1Y+P2DblS4PExyzwFC0vgv2oZTh1n
tqHyUuD5dJt8G3S2Cc5gsfsHtBq3cwCzkfKTnB6tCiRQH23tbc+unKQJm2SLM26CbDxD7Vi6uQMy
YBODahjsanxVruNhIH1gIwiBKGlbznmBHU4qdBQ7x6gPprLytxJ7pDhkpA/vxa4Wn1CrjtvanxUN
g9jI3hOdHtpVHRuTuIzdpeUGDQoE/3zDyjksVh3DgN5veBlvwAOThcf9pPwaF+c2LTEfQhwmbX/E
O1AZia+mrXJThT3HOSFAGDFJfwLGmJK8Ahnq3Kgi7p0+tE1ZtsH2h8Gfps5Vlzlcma3GQ3nrS5S6
HAGett4o3yRFHkgg6xmafck7d213N+NXfMKuYQkwzfqgBSQ1VPY8gxRDq1uzNt4wjSuzQIt0Z5cu
exVurXIFtLMVzy4Xs5wQa985xesG0T1IQduHxzIQXEdnPrAMnDBnxyZXt6RphKcqSIJ9pF5JV+PX
k5EeMZ0lnHM8LZvb1WUes2L4aS4pOl8mubk6g65JquxH1TSjN2pE3QwrdZHUGB12ub8sEloHTsa5
1wDzCaAwZSrBgH8/OLLLwxGqoz+WZbhMPXKXRL+sstabRvlWbupcO/6KdYhATlyM42v8ysw6YMwv
ioNW12XfuU4p/TkBSAOBbWL5vUpu44Wa3NWp9iu2uUi1AXTgcZL3gEY/UbgFlMp7HFqtdBTtsvL1
srvWnUuLQhvXHWgem3hfr4WfQ9dFm5d8E7A5cclnEZLqJa0KaHJwPIwyaDoRbFMZr2T0MX9vm2nT
aX+DHqNWebQtIMOBxE1y34JeBt0sahMgLyTqQcid885rQL1pgHiLRgZdOx1se19OY5i/rPMRCMoZ
l/fpHcwZwCw8qFxP6aj9eUHQYkPYghbNgXN33eLDwABqpG9BNVmSY56uB7JMoUKA6tTxMni1RdZp
buOJNRempNdNvr+aUvmjoOStLoq4TnO3324L1n7szkAEs3q9vX0Ss6+Z42FQvnKQNDdtXjckCRxz
26UdFNyXQ48ABmYInOVgpbg8n/3F2aKOT8G4EZhiyKB2p2YOEASzlUXrrgchCZIOLKAYv8rgcysw
2U6JDAiUiaOgs1slSVxWS7g6K5B1HQ9m9e1lmFSxEkuk+sVTULGSoOwKt+xBDwET8rpzjeDn9u9y
XHyi/QnSrqXJIcVzxGkOJUAEVtyqgSI3sBaRFu4AQwlbwE2N3Z5IH04m+t0w+t02vMEyaIvX9o5l
LuOWAQYthdsxGrTQnXe18G3sqSmNesgpzZF7LyX2i0+1cnO+uVYP6DLjZSCr1Ub4Jj8Rk3lWExi5
DFJAIZqAgg6QbX3FtxTSO/GtOpmjmKDVs5GJEbhVqiCfeTwVELBgrwGSvNRQogFJUzNf2ULPOpgh
Qb0ux3dpUR2tFlrLHBaxeXWbQFVWIQchVa4wxBDDQZZFXIFJrHqdwBhBy9ZbpohCVbSCBRszH37f
EFj51MbsSruzNKFXiOxesqUR2f16HP2hGIKo2eeDw4aQjKByCQwr21wbt92MAurUUW8ReD8pM4CS
ZwLd3omce9IZArRBKf4xbd8P2PHGg5AmEB2UZfBzAQFlR2P5Xvg2eWz1tkJfCnlrk71jqW+beAVQ
msDLcvPeek8Rc1hBmur2mwSUimzCXo41UCdXtzwoxegTaQcX2t8T4o0VVJ2dHa2nWsjGDNTEfp38
FTrTgl2loGd0qPC3dQpxg0IMGcamxDVbDnG5QJOT+SzRPjzaH9gU4AxASiR+BtnY8SN2ck8CBzXQ
TuZgAAmxQsoJalznOeB4XA4HpxpgeIFcXPbBRqZgyTPfmRO34yBhg/ac787JKlRQpq5tQWr2Ljxv
EnfH8Mop9xHUTEdupzbrXeP0UFd1UGRep3dvnJJAsPRe+bZSlQ1VC175oP0FloCBJdo5IMlbD4Mq
XtTU47o4WQOMAGUrDCRnhwZjN4Yr4IyVuNoCUp4RDwh/U6UgUELbBhEyUdg8TMeMksEK4FqxJer2
OUwBVUUtDjt0UNX6VnUcuAX1dAvaRHdPMzp+tUL/lYFHqzr15vTDVvTB3KU+Nm2QDiLgEsfZdNnO
/fm8zKE1DKe3i0be5lTxwI3XwsIkeNcgFdoaYYDlS1r7uvMtuOwwo2uqPGoBNq3pW5ChTKvPrcxp
wxRS3M9EH9jBrIUuy5IbA/0Zz+KugjTIdm+thgMcjg1wNQV22nL/apD6xnUOLezhLD3Z2RNKbhwO
44kFhgn9DvSBA1LnPu+QbwEtIe/bfgwztJ1JBLm5t+E2vp8kuphYFa+FhJcfBvAbotnl7HRuTeY7
UrETkSZOcOnqJfHqUhzTfr7MYSblLM2ZXSvrhnBspsOmprd0n3z42RWo6tNpm5eTNSRYCTWtbwE0
tTrrSNyCmWByrsgAww1YmtXhnTHxp6YPIJmDFSxlBx95KbxKp66qu7hVsz+NuT8DIx8a0JvWPEZO
cd4gB/rexl0XcwSid7JteQ+El3Eoa4kKur2Btgqe278Sa3sx5+S0TOXRdldZt0GbDA1wOr9alL5q
gTM59fx+gRgbk5czdX4Qg3aOa5YGmwOwZ5zR36rpTE74J9NCwO/yaL1g8uyqm5cz1RURW0u33t7P
LX7TLck7O1GH8LtncvuuXCmnM7ssumi/hZzJYFZgyTfkZLTAeNpCp41eTD4MLQeJS91L4Qmgqp3t
FendhID0b+trOzfIexVoWQSJDK1+T1PnYIolXOoeypoF0MRFe3fdwmcDZJYtq5YcyF1d1RAx9XjZ
kNG1qrLNHJAQzhvV3dBsOuNO7y2jclVSuXn5kxWH1YzOqk6fKzS9coCcaBgo2F7LjsstEln4c5gB
4Yaf23/JMvgru8FlMEzqXLT5kZfjS9vy2LYiHxuYmLJjleIrvrTQoo7gs8s0zW7GaTjrRoO9DBc/
E0c07tKfSkNbt9PoYqfj+S7x63REx569QrJ/vVF1NaHmRyj3Z3a00fTczdrXNSACTgTIc/mRSYBq
KHptxWKrCdfs1UZ+tmUhW2ffdkSSQZu+0tgS4CFzvCqjx07OvpO+tzM62TdHyJtwAj6JzXlGEjjP
sBxsRzTPeYxhkmBrAG3Wk+DbKVmUj/vbTScXTYEBXl9bQmEDRK7J0QJ7NY7hTFefQvWyAF4i4b/c
NDl1ALE1K46WzuAu9y3AWZqDpmz3LdHC3fi6qN8hZFv0OSqb3IOplQfT8Jcc/LI42eVQwPkK2PLc
Z3ECE8oBGt56mmEkUseWFJm+PKPUHJgY3b74uZxAZyi4v9AqXvLtJfDslyZVbya2ny06jxMnTvgr
VoV5d+wFCnbMLrcVHyZEThnAWEaJZxxzvtD5BJ1lkJkhrLcWJi7shwohoItTROhw3W/mmpfsHL1v
eXGyo3xnk8cV8hE0qih92S/Z0dkobGF3bU207Jum26mew0GMsa2FlWjP97gsendJoUJDacND71ar
m7ZxtZKj3dXIl8rtp+FqYt0ZdCwXtlbQFd7ErxBg4KBVWDRJKERjewd3NKEF1X3GoHgr9559cpgk
7aD2jIGVeDqoPbYKq04dlyPHu295fCtk2BdJiKDSI8XdQgxndoQyct92+bWqjt0kg1z04ei86rrQ
lkEOcEnWNG7hCnVpiZiVICwxuyfPFLu2sSyc10LCKKxm8QxyUw3kK4eJx9g08VpGJZ4P2mw3q9PC
5CidfnQyCsDcrH63pPXRybRbkSQ70La2sz/u1gmcH4Ch45LDiBKqWJYstgJEZZVetdt8sDQrIeut
Lf8jwMEINWAEvb5ZACVArF7ToAeZoG+BGcBj5gb0lA2qvuxuRKZ9McvzodInOk0wdhruVD78hPEI
pbzz1DiFGaH+IN9NwGmQ6jw/zYuPs7ZfTo1dfZy0fDz0dGvarc/T7Jdf3/765z/OP/2k9/43Zb99
/vBPeMgvT7WHvR788eTw2adDVo+Ol3388e/vfPnHzp7ByQJ7IuuzidiTo2cPfhT42+mzX+/8dPhM
w+EzOGEmJIUxxP2vsD6dPYOz43CIEH4aQx2YsN8fe/109gzOjAqHwfwGfupEFBZw1OO3s2cM7rLH
gCScQaQO+3fOnklqT8o8HIwRh1I4UyTgfMHTKX9OmXQ6BsMAXE9hM/Azk6b3CvIMWvOnsU2JW6hO
PzsgBa8cxPKFwtmt9lhKyJ7kwsrRvIA5YOEAuOoYBmkBhzEUdSLNm4MVxy29s/o2CBEBbsvzvGfK
ZTsMX+okavct6nMSbVUFBQ35dhSx12vYGIAXEMD2H63+XyDQiFd1mGFcti8g1O37MV1xVKMkEklz
ypwpyPgGg7IDQl0kYDp1P/ARloOWhx0aRz3B6G6GmRnIzXZmUcHI1a7KKuOVgHnZ5Jrz+YriV5sE
XRy0cjsZsVfaGY+V7e2VdtZjShTlzXs+r34LlbGVgJAwcIKFp9MGhXQNeZ5ETt+e0lIAOLpttgQZ
xUczQf0n58DrIiuy2xEEpsy3YjvrYcwEM5Cmbg52EiNLsB/MAoua3duuM+9XETVL5lmLVhqMpFnY
XZAJHUzf30/DCMhx0/CmbPTBjlJash7tdAP00hB1Co6srMeswLFlYR2bQ9ekBEi9jtpyj5fxcsu2
UOsMhormuNI1VLsJhuXN3JsjluDYLQ3sYMEMIA8ANbers1aZl4+PW/bWbdvdtwM4Spaj1ks4wwwN
NzfDhqMRRjQMykaaCj/jUTVBycajO5adyypygvMacJyoOdaERE6axHa6x+HvFqadWePC0cxwP61T
Eq9QVRbEfTv4UquKlqY92qmMndLYceCSvyPTDBoQjmyU5p2OygXODoKN7Up5DirDusKpSuZW037U
C4xMMh5u4O90VmFJLuX6cSxp3VPh5KOr/i9759VcuZG06V+EDZiCuwWOJ3noyWbfIJpkE67gPX79
PkWNRt0trRSzc7Mb8V2wKZE4MIWqrMx8DSVzzatPRh6F6fCqrdOxuGsGY08Mln6+n6iH1CWcODpG
HQhMAmDvTofIukjT6KCgHGnqFz5txKirjwrlUiCU+u4WYZLydDObWq0fDI/X2t4QT/bqRalJr74X
/hdH0/aS33pgNOq+1Ls0TLGbZ/3ktXkgM/ibvbnv6/m0SGPvUGWuoIijx3IhVaVvrb6met52jXnB
7h4sERQ5szqp0VIjr0ZdH+tX336Kqoha2tqmjXupprMaW/VdIVFeuaX9uFssbQ9ev1/Mw+KB/FfW
tnKMfcK2P6yhzIbAKPRwVvOUkVLDY4FYrE4SiKTYVFfWal67VtwHCllzmuWk5bc5W/QMfqNwomQE
kQFWqiJ2KRZ3Ziwbs7hWiJICnlLKBekQUtj0Ms/Yu5q1GxImX7KEVZaGesogA5KrBVPRlQ2qvpwP
c3HlWfNZNt2XJZVfZGrnUDn0j6ISbVhp3aMT02Ra2seqpQ8mXD/ditV9tEQWB5OZfxNN/Dz29mVU
j/daBmtnOU7x/SCrKszded+wtdIwjEDwhiD2AICiWbghkS0LvNG9WLthCLKWFAnBkXUSZr4f+uqr
7RUTfNLmHPUkGYlWB4YxBH5kNXvfq86TMIMuKYI5NvYzmawP61EY6T5bwo5ePBe9ELzqOSpOTSaP
Wd/u8/U+E0Cxpb4vtzRzr/JG34NOH+zCPdAsoWSQp3ZldcHrinJwn2IXMUNIxW2xVwe743KaLP3C
6v394hxjzw/lYgVW59MXjPbpKk/rQoTknDWBzadrUTy4rXsA+VjiZivgTaj4nOeAhIm/14eTllzZ
gwwrYSug/NAa1q5MAYGL+kJ38qM60jX9fdVXx6Vs9iuzeGRmz77cuIXPwgU4FCZNpq3LU7gt+wxr
+/MuDFaXLTZzBma+lV4VaGAi2sycHrR9QUTNCRg5MbrzjS2l0oFeDkjLd/Xh1LEPKx/0l8eIGkI9
3dzVp8kDNtZebR1aAz9SiHZKHFB3numU2dNWArgaFY+WbGElbhPwZHVkBGwpDXnsLPeoPmFYQOoj
I1HKk1itjb4rtW1azwfPc/cWULEEiXV9eUwaZ5NP9tFJ8gNtO3VF9eW67tkdrrQUXkheXcygTLW+
0yaWBhSBepXHOVt2LLp9C9Ksqc1G7gspj05jb9Tg0kCvaT+o+1PbYkbhFa9ityQ14XuTlMWxNyBR
1HvH2MhchOogGxCXFbevTBgSUp6iZiYLJyB07CD23k7cQ99Nu6KTJ78nJnhaKKu9wdWcmsR0pStZ
VKfacw4jO680pp1ikRgrnVxvX9YTfQljbznLhdN5h9h194jsNpnuUGLv1Nz0CTR0q/yaucxsVLPQ
qNyDM2ol/Yr8NFTstzTY5mS8yAKpuy8+86Ez7YMbQ7FwCoCg8kINu06QXKwnj66guuuR/VDdnvoV
hNn9YmW7Or5Vz6l+vDbTTt2SmrLqcBP4hw0o4xbEsleUBvXIrqSvCDAfcxdqCv0+QTLSIa/d+Np8
VCcpG+gxVEjqRL62nPou3URAFQDLu8HL2adJA3gb9EGDupWhOqaMh526N/X5RbcPqaAiZxapFdDL
Z7KHkAqc104LLlou1ARpeeI42o85NRgLQg1fZlxrdHKaNj5mLXDdmry7vXXSo+zd8+vHqp+3c+kM
gb3KXO3nj56XU2fnXxIDkGg1o/vEzk2il/f0eYinm6dxLO+0NL6ZNTOwAb4BbbSLSiuHMGY71Tu3
DevZeRm88arWzQO0x+2c1lYo7WkNXb+kFwhA7rYfvs3p+7Kh0U5CZjO1p3JfajYpmOs8+v0YkJ9/
GInzXLWeFQBkbaG73wqdV2ImL31yIzpPD+bce+2mfFMs4iXNvMd16D+cPmnDpXCvyCIGPtl9GGPi
BoUHjXVdbhbTPMlevttRI0MzBiiIcr4v4DkItfa2k1YbR/fah6Em06vr6puvDx9V5/mPxWQ6l3pU
wx+dnvy0LJ9GsxS/8W7/f6+VftIk/S58UgIWF2Lgv3mvfyqTftI1/VEmqQ/9XiG5/8vxdQwbHJ0B
RtkAD/NfJZKv4y1g06FyfP5RRPs/5DnI5gQGMMi0LADaT7HWHyWSkrJDSsTGR5jIDX+vBX8qVNEl
/ev/f1LnmFRUv5ZI1Gc2AiAbyYHnKcuZH3mirljnxVodlukYPfRCvlaJmQTds6c55wqAL4QwDtnB
Nc/9HB3HSJyLMc7CKHUVoFoHeSaLsCwknIKCNTJDxCBD3neTSxdr0gEHmw6SSN2jDaA7Rttj77bJ
EiQTVBGpIMJ2zYbQT4fT5LjwH1JTQzgTpEBGgZPNQS7tdxvwItB99zxrUQq65T9oXvRSOu+r6ECz
2s4KotF9UI9gVcZbaThBmgI+xWk4VvnJMxoOqPnHyF0IXxbkptL6qIczEM1gJK+fvzOb+HGm9iKt
toIqAkPKAW8He/KBsYfAHSYaZ5mzLbp1BEKd/TAuOVNWG5uxqjaj9B+8eczQrhTrrm+5x2k4mU7+
Td3W3CNbyA37SCP2QY4NOYbZhHOyHK3SezCr/DWj5gtc+noQ2er3YU2+6tHqh+vQeRsjLoIm75bA
iidgDnsORZq/JtAx4rWwArb8LtDaBWCi+Oo4bRa0bvJa1D1PbWXXZjM+qNZkq3dNWNnrW1TOl/U8
hgON03HTi/ahqeNnZyqofOSYBmWRfdVS8fH5k8ZP37TqpRnzIqgs/UvDXCnoWsereVqaqNoPhTi2
WjeFzSDPy1jG8CnO9uBaO43IHPZZAwev77ee4SxE1HznJPqXwi8kFN+7yi7Pswv+mQzGzm5jPehy
UGLfsdkvovcl0i7jrsyJrGiAqjcm8Bq0haADPXwxigYcqSC/zqbHNp+8sM1eGq8FP+yMMrD86dUF
kpsGVF6TB1BkFtGmlk0eLP58F8tJD+mNyfbsMXawonpYmgejgYpiWNPR0swZuq48lmO+XkRuFZOV
pJAWGrMOlrwtYPYwYJEmbtr1wkzbKHA1ow1TLb6bhB1M9sr2UnVs9PrI5lG/SjXvcweu15SiPKiq
wQnc/M7JMvdizJZN4QsALruPg2YwZZB0AFoidllj0NEMO6YHUX/omdEEsopbACLxMtrdsol940Ua
RrktShKhTEIdqMdR3FSdda8v5bGtwTHqbM22cjVubH2+QZTWhrwPIxxa/7JtPSdMungKGh3mhu/d
2h0tjYIlCgHwGeHG89ynEmAsv83q90xL5+tEQzFyMPXkHSlXCYywHvsue5lhQATWEEET6xiOvDga
IrqbF/+tcOVurHOmcOqHpRvxxov6GLGAzBV2dSLNjS6z6ojGITaS6cqNXvRyunVNL7l3jGm56moY
Us4U15e89zb0Z1vbwy4SzP45SCM/PY1rU1yUo3VM0wpsM0qTq9ZOKakiAdVH5mExzg8lkWiu9S/G
CtOfnADh4Vi8TykQm9ZV3sUAcpDEfvw49TZ9XLiphXBjkqoxMCIxhZZNP9ftx+5QNZDZLTvfQa/I
ERJULz18qc0Qdw+zI6dT0TAbQJFa9ULs1HTvS70eoFvbF3VM/6EZ752xqjf6OD13efTVtfY19OrU
AmD0NYJuX5Vm4K7VS5lf+dn8dbHli7+ALymUMJ1pca7LbtKKaTPNqwwTwApvih7MudrNVbTx/d2a
rG2wPFoNbVgpxtcU0HxjawQxL4sNWkYJzLD6CNUD6izVR9A0KAREKmzy0vlgee0d9hAFsq9IC+CA
23zOp+NEiTZpq7eF7mIHYm5uSxckvjfcQEAN18e+CEqjeeg9ydkSiDndSC0YlY/ZWE+h4fW3XnoT
6/AJRtcHlbSK8TjE30cHSlgkd2KR29G2zp2Z9mFhig+tWzuKbW0npiGFAr0e6w7RhlFwdQ/uvdGv
lLLlk5OY0aWTIjjIm/SlK+2vXW+X1Aaoqfp6kJDvDIg9Mr0F5Cw2TlL6Ye2PA9CMXoXDUiQ36aJF
gb6QNC7JwORkh9pp3ytoi/q3nNvRzBx4Aw7CXKOWrBM/JSz4Vdio9H6QzNE4SIv5CaJ+fJoWSVKv
jjNVz8YxbhI7hT1gDrDE6/im9WFPZNZpalJyUsf7cEdAWSG98mQXThkm3ggnjlmk69eLWO6bpnyD
UDuZQKRaXx80r3RgopaQQtJoI6d+PYvVA3/wq+6MkoMh8vNru/WXkPRk2HXFdBnXZbTJ6vgiqZdy
50xhmyNsM/3qJKf32rzrJ60/2kmuX3pJdoynfLmvOv9LNkN3c4sx2Q/DvMuH1LxbF1DZbGyq0Fmc
6i6PdWCpxANSLdgN+/OiT4/U/HGQSA2xnGWFKQwN8E2NZMDujqNdyCd/jrYerAg2tMBrm3so+GOQ
6m4cWDAlLmAeffVptMIKbz/auK6ODpu6XdDi6ta14GaAb0cflMSbs33uIXCQ5S7ympc26y78Nhwj
/d4GL9F6GOSTmA+dRpAbIPeONhul46SXD62Tnrsqv1mK7EpPkUQ4BUm46zXb1az29mQYpyFJj12t
3Zppt180571GVxd+Jgkd3Nd5HcK5ntJtFRmA1evcBenDuBVZBQ7eePG5bGXQ61MRpBp70Uxbg07R
GBknw2iu9a6Cs7gRyc1Sete50Z7toidzsdNxG83WPTyvlihnX/Ys5M08xMfFBiVFuIu2IfmaJ1Qf
Y7MbsxT2et3uVtPfLlWSXEZJuZemGdbuGMSCtsTb3KleYZDpoNFFfWc6Tc12TFMrzfpjZRZhVcFH
bXdD0Wm7NC1QJ3TgTWN8ETvjcy5AAVvD/7K21hygu+kaNuE53UhzgZxBsRBPHVqr0vcf7ZwkbmQr
9mZ4J1O87UcIuSYUFQMVArLRzLWTMLGq/lhHU4sOMUl2rmY2m9GsptDt4OZUcTECwL+Y/ZwEEgnb
Jqn1PNTbqDwsQ5NTWtFNW9Kd7Cv3o4SG2SV96E9dczM5tP4ixXlJ8zjbtCOE9kJz9Et6+YchevS0
ab4odOJrD3SYJRM0B+QbvbWDqfqeZbymeCCq2Oe5Xh7iUvihYdsX6ah/6GnkhUSmwC6z6BSViX1d
zMZ5QDbDQrsb6ugjq8ZnraheVgD5LrPv5mlqg2ws3TCV5vtqG3DkemsTtaQcdgtkFdH7bbvdIOdq
i82GYl2n7INOMA5GRRM5q0AGlztzFMVGM7QgZXOa0uLV90Yiu5VCOxHjNu+bi8pNnycZN2QcPkG9
9u7aSoboCbqg2+UC9l6sWV+FlG+t/tD6I/jq9G54pOteVE1kQbQvdePeXRRTrQDrFfvRdODHpryD
RHYx0bY4TOIRxK8PrQJNnVG0WZi1Zjhl2hAMacuEaK3tAqmu7terPDa/+/nTWF1Us7upHdMJNI2Z
nwsIBIITKj54ltTQTAsYP6WZQVHv5LlwmiccdoOVo+E7es+QYYb0xdXKKrCkd7/O2avw8sspovcg
z3W8XLuwB4/JV9tpz5o3Xg+Fex7ryjtmXv7YevIo1yqQWlUEXTyIQxlx83H04Ub9Xav3h6omtaq6
yA+6JilOhdSvXBiB59mYpyBmqz4ZPQ0ntIeXRjLSFFibS1MCIOcNemSZFFe8zM3gyNuxmNqHyILQ
rNOODGyn/uLflJDcTrHnqokzL5wCfnXbPdVd4lzNlgAUdWhT58lLF3cR0PyoEcfN/KSN7YWTDLej
a+40A/ruzDsO044Mq4bTLXPvIRJUAUm2+GFH3eF3ZFWssSzQxqspAqaQy2Hwi4tioZ5joWWhmKzn
qoAQx0HmlGahZy1vInbIzwkxdkKV5cUzOXusvxpxwmsrWAzSSUg1YBfkruewNcbbKLLTEEnGGBaa
9dBEmrf3PGcTgV2FRV/4WxbNY2WZ5V5UCIijSsX4KigyawyFSv6Y8B2kO5d9cALQRnMXjLWge+ic
dAmtzBzy1yqiuW0443XSDT4bbTrzYAkNjdYnuRp8honoyoNnhtmRb5A66b33kPsQJY3GHkN0ehdk
qd+9M3D9osVioy/Ntzl5+jy2mDnucyTGpp8Do4TZnb6uUfuiSMZ1kr7GMWWdU7OFu9Gd7CgPPz8z
So33wLGFY3dBvBTsbQ1oWJzPZx0WYwowemom+60u72QJYbg1IuAzyzqlUPC8MQlXTS4XRg+xCqBS
3zpG/mqnYgjLBT5xQi9u109iuRjQ8iWqJIiauL8bOP2oL9Y20kW+kZ52A5el2EqocPA0rtoiN+Fj
5JKXtz6K0vNup0JcFj4vQYdZU/TaN6EV4/UKymTavfVYo7D2e8hwuVyuBvwMmrHiVPQvNwOZrR5r
b9QLDRx2+fpZbw6ee1TWGZNvfvx73J3Fe5qSIQ97Izksva4fXcGcGYcWmZNRJkhsk/saXVPdLNOp
W5rLuixz6tD9kAzzebFPqZ6sx2yo7mgAox1oryZSh7L3L23ZXlkTpXtWFpQ7UeSEYgHWAQU8tgPr
ZDFgIcmmdTb2SINrmazljMCbGsN38v3qgPrG0cY15p5VEn9xFj06uc6lvUYaDYJlDB3EVfNKwKx1
7+inDE683EY2FbLSSPrAvM5RtiA+rTnTBs9eU8h1bL53kpZF5fsPcVxdVWb3PmXvRj8521q1TkbT
vLYn92tVMGUo3rrNgniyd4IFL+qQfXsMazj4QedwC9GkF2HjaFAfY/Bg+IpV6gcjQ13ELHU1zp4+
NEHejG3Y8S4gUsz5ZZwLjnS3lZdck6I9WBGrIk60B0n1QdvlvJZ0HsRUWojluCfDAzczMu9sZuix
+qdy+BYZbRKgpruxobbD3M8s9qrowR7Uzq0iRGbwf6aJxM6zd4zZEKimRZY6Z8h8bTRffS4HaJ8Z
9t7yFaHl0WzYQdMmO6YloWmYa24KEUNACmQVuh2q51Jj7XFskThv2ihgWikwc6Z74hViDKWXvCEp
OA4RZHzXMJ/1bIAsL8R5WY0xTFz7CJgsl+xZkrioyanmpW7ypH3c32T5oYzLnQqIWrae4zzbNShB
6CNTZJhUgXZM78ge6SypU0Vxf6UVrDFdz191EpzfbidaHcoQFZVo79QQewuVJBFhaViUIeKXGTLV
KMLBtoLZpQrLBN2hWgUEeJAQcoKiLbNwHAjZQyFfF1djz+lWSAPU3GXFhpN4qDhjYmG9fCmAAD7H
RrMIdab40mSFG+qSmPv5OoS65zJ9EIP1rfG4LfUims55MGBeOnm8bSrDDytDWsHo5gH4/5fPlllW
cLrP8V1UxwzBFo0rke+KfjjP9nyXyTiQaPIEUssye/ab/Ju1trcyneUGjsd6kN4cbyofdrs9zXow
CU0SwshW9Hx0Al3rxu2q2J0zk9iZ2xWek/ZQLMw1FSA/A/ccN6Rk45vj0gxqZz0Nxp16/Z9bwOz0
DZs8EksV4zEtYgfzuhvSUdrsnXtcoGJttGjKT6KjMKr0DDqyyJtNLsr4QDjv2JfpS6plMifRzkZS
HIqElplwAbyODaE2KO2x28AIeNCj8VtdQyWo2Yd+aAD/RUvV+rNyHPdu4X7a/6gWrvr9j8J7BMl1
HAk4CRjYjDTep6G4cHO0ZRHEEfp+Zf+WMuHE7J4TkNLgs2ko6+hB3RlsVfqO8RcVBNS7Fb589/oT
qua5bG6aDDkYkzAdmJWgUKqdCag+hhMr347FObPMOzMK/v6R/uyVwRPZACCW8h/Gp/jnJxIaSrLe
1m1UFs4ZHwTydzpjdvrau0iI5+GLk9NMnEz3+PfXNf/qwhBQXJ/gggmi9atZRlmmC0UQQ9miZo5i
QoJ9Vm3gPoNy3DtnQVhWUaRe/bOhtvxhyIJiTV/xJKXg918s0odFv3DS7ikZYJuaxXehkpuB1ZzE
6cHDTmPgxlEPvaqcYWnYZCrnN3/n38zX/mpO/Nm8BiNrQ2DejDKBXvsvD2JlQteTBXhzgmJM5e6c
Vfyb8vm207aOl73C8r5mzh+blOXr5oSwhrzDWVIae6QeguiQclsdbV0XzWNWnVWIz4nAg0XvVwW5
xXhbbfbMqrICd+ED1u+JkBBEU5XHdJZ3v5Qw5Bk+9S4TlubnK/uP4J3990pZG3Y/U99+I7v9mxj3
/wYT7l8ubCzR/zPGEybf+PMW38tvZVz9iAz98dnfoR4Pu1Td9HUTB6t//WmLP9hwwmJzhE7hWg5+
SthJ/MGGE6bh2gBE+P4QNkCB/oB6fEsQQhwLDocFWP4fYT1/Rnrg4Xk+PDgHXt6fvNA68MIC+RjO
OpkZDB+rmYdak5FPL3voc3AKjLAou42xLnQ7+33tJ1dO/tClLz+M3l8shj+vBYMRcnFks/CGAdv6
OZo0CzAEiWuyt6Zk69AImGGEFDb6g6jZ/P2llKdh/Qv/D4KZ7iveokEg+cUYI49smQq2jn2znVq2
ognLlSwKPTJfDfm17brB6j40pLI41GwQFKA/+SbTJZjHKBz5+of7Uc/26/3wxDhhok8WlvtLHMDp
NWvWLouxB3jTEPlk5bBxgCFW1C/lgKKDZqZhoim/xvJm+/cXV8/6d9f+BeiTpp3TyuXa9HYAOtpg
blAV1M1/vFkYygfdU1PdN3BO//n1wrgWa9GOMdyFc6WREMohmBEA1tCiewqNNr0r3OK/vOgvO9Qw
eYjfOgjOVnQyrb3w76z4ybL2sf0RiW9aXf7D9dRD/Hks/3hItXH9sMebPYX35HM9PTs4fR/U60ds
PNlo2Mc0/u+uZSqjnx+ulYPgu0M2QdHWSMXAx0i/ZPUUuwmw6tPfz5F/eK5PE8EfrlXVpNgzq2Tf
9HdTQcm2PK12GTj2R53/w6X+Khr9ME8+DXh+uFTtTgsQAkNYY66n59/y4Z8GzvjLSwiMGH3yFpcZ
+fPIaVO+DjJmKnazFlSjt1HWYqXtBo5GVjjvlFBhSB/77Fk54wzWI+MZY8X1fzGmP9zFL3Mzd5bO
bE2ci/q1CcoW5Ymjh2ObBkZC24Gy+7+73C9TE1SCbnfH5VbcGhVTEcTSSanAnhax//tL4TL6V+vA
dnST0cUo8dcRboeybvyyifdK7NUoW4YB6a+rh5/uZrh5iewLvE+BDFUp6ZBsBH2nHDDWa8sqIe1g
C4qWUEPGUTcwSj0MceBZYWARDk+zS6N63u281N7KrgwXuFU5Fpn6wNvM0bOha1NnVIJGKS3wzHST
yuagJNPKvU0Wr+PcHSikM/uWjsCBbhpWas2ucxs4mPTfVxdwr90VVFfKEdNTChm0F5ntB1F2i/3N
XpnSlShwVrinw4QTAN2RBCDER58RldTpGR2Wt8r8NrTzZtRw0URHJeMSViiSSJSeK9p1ZdCorM0W
Wuv1MbducyDoFma1kuK6CNrtMjm4gPF+8apbj0q7ScN7o/R16uOutl4baNmcFAYaGrdlSNFI9Jt5
BmotYQ41DXh/C+ywhG1HoojOUc2xeYE2Zt70Vhl66Is6Wr9KuiJaf1tyR4qeZCLxUzdQT9E2xcfM
vXOB/9XJ1U81/VXJYUtEwxawrpqrSvzY283liEpO2ZmJBr481Iz6bXDsbSphf6T4U6RvndZcKAku
rVGMMKB7wHsVsifZHY6FsE4R4csdaRJiUMFfeAnmwj9Srocymo7qInrgkrSaKMqVJEmydJb2Zsn7
vWMjMq7fqarDLH1T4h9tsA4uYipN77Yjc0xQVzekM9qOvj486oGesx8IZ9pF03XcpZT587d+wQUA
PetRm28cbXl2h+EwRzR46qy7gzpPZjJfLpKn1BmCTJ+fx1wDGDKAe53of5DH/0Ee/xF5rCfjLp7W
g0FeW10pI57xuzaCsa8CDHTcGimie8Bdgd+V+jm+MYGz3ol0V4NQcDzsqRU3jMgNymnaqsMq/Q76
QVBG5tYe4dU7RgARuVInFHQYHXBc9AQtOKCJQgG3mp2VzdAh8I+1KgLkFluysB6nbTkV4RrNh8rz
72272mn1Y9oXGzk3e88s8WKrr3Mzx2AGzqgAN/VI16HkdLhcSb2+Nnusg4McPqSWVdsUE4JZzsfM
0jCTqg4zNoxL359HC/+1xdiJIjDh8Ua5f6pxiNJSH1jZ2yINLQ+D3WKhJcJ8XYKhQlyPhVhpdrSa
8BHxSviWy1WV7DWzf9Nxail9eWdBJo7N5AjYoIXtFGMXCGTcYPW8n9v5US+8b1U6v5YVcJ1v12zx
aFel119aEMawMliN/pBVikGN4CGqy/MnhRnqbZviPAVzvHWsy9hc92NlBhOmtz7wiUAaoFjVieHt
a0jIgJ3bKYHRbMDJNq4UHRc/ik8Gt1iQ1bUQs6slKPU5VFxXzE8Oit/Kc39+Lx0EQCuSHmUkhbta
7pNyRZ+c5AhjqenNRzqsbNiUoieFNr6axVF50I0ofmITeQdug721HXodP0wLcrp5oV/WeM54BeIe
gSfVaF+qB0tRxeSTCZ+iOHVcSnmXzRjo0IVcBBxl1LnoKZQMobQQE+HatmLX1tivXaxv1Y8MjAzi
3TB64qKAhZGUbrExu/VmHBYEE50beOX8iq5qU1izgyuSyPe1jdKv605D2kPrcNegjwoRUgQ0g083
uWeeOya2ADTFrCRuN06LksTQHl2YBamCXpljdejqw+2wFaUGCwPo1Z2t99pqzlgfN/ukHoN+RidO
shGwA52FEhhEfvN1iuR+BFs8lXrRQs+ZYe6hS3CVQMFXUgXN5b9K1AsmKgaIC/02Q9fQK4HDGN+b
6B0Mf93pGGuFMalUMLMaogyOvndZzCikLMv/jnsovgAZkEVSP46rc79acHDrpv9S9mu7iZ/lmvhb
R0OlUS0ZfknLAdXNZaw3Wz3AGX7XJ5qxtaoI2StPWL2bWARhbrHFcoPGjWG1O6PIz93q34+YK2yX
1Xtc+mTc9hbQs6bjx6FpT25ZH3JtPsDHOisyQDt9ALkFcf4KG0xZ4m0bpPtFlG5TO7062NVwnIZy
c4wwnZAd9E0FG/jZtlu+rbp16vFE8LNmo3XZ1vQ5BLsWMLpdZiHrGELRpQesLw6oy0N1hqldLjKu
7kfR1s3wj6KU90jZepCpWM7QEeKtjKeDvab07UziyG0vzF1R0e2GsQW9AgWwHVhtvi+p/pfWQpwE
MlnYWKNYp7UuN412gWBrS7tx58MGjxCKyhUbL5u45qBjd8yj5ixn1zZ3lSUOjXV0tYTomO7VvVPu
Hkp6bjM3UqIlgI5yWLtvscAYz3K2s74GWDtszKQ7WOWyayRqfFMLMakystvCsPdCvNfr9dqlW8jS
OBtZ+5xRazH6dI3hYHYytCvrgBHsHjY4zo/jcenXHdjv3lkRrXC+dgEdXRL4rPNOrvo+KbCrMS2Y
kvdJcVN8+lQZPLK5K5sRqYLYQagKFwu2p2yw1oDw5Bw8LhavmPGANrqxfmx76LfJQ+YtO8xFDXiU
6vYxicYd/XKosHuqlx3upAK6eTbqO3g5rJVy4+O0q37dFiZr0YDy0xyzaThW1/hlArftk6TdTGTc
6Hm3ttV8xsPVhwbGOPdev3fT/kGvBWqTYZMI+2gulIYJwYgB7nP77OO8aLNTGQh+yf/oXRu4KTqY
MJ2buEaupivB7ks+jKfSAudC6JBz/ainud1ql83afO+THLQSV5YOSzgP09cBtll/FKgE1Suse3fH
H9CEJ9KfTC3deubwAu5PZr3sc/EAnS5McChPKcnjPAr84blVCXSlByXwPsaJOH1hp5DRDRV4H37o
iQyjjNCky3DAmy2v282XdrIUkSvE4XULYzG0yH/dGQYlyhaXcBGBAC1Nz++hTwK7SGGF43IFpzOk
ouQLU1hmrebi1Kwj37JvK73c2bCOoqHdQJ6mA4O3mKFt/jd7Z7Ybt9Vt61fZL8CAfXNzLoqsXr0l
2fINITs2+77n059vlpO4iZMgwNnA3j8OkECxI6mqWEVyrTHH+MbE9TSDp+LJxDfe6nYbACLhyWlE
5jRfmx+Y4YW2ySy+IFRVbBwrBW30avafDTSN1Y2DEUaSPjabdFg2DNrseIYi1wV2+OrmfpYWfsQi
XOcOjMNxEyZYsVuOUb0yhvA2msINWnYzLMRtXn4ef6zAUIfWrQd95u83i8ZP9CdNRYKzHfpFXNP+
YTc+22TIxzoBG0SWtF8uDBphubvAv8aF9T1YN9nWWUB0W7gdWo4uhmFEGOA9S6FSL33HWMENgCxR
nUCFaCGkKakkyIFdCwFGXpTAcwpoMRdIf4S8OLbcmtptl4EHwZCUD3jItC+b/H+le/9lBJw5wR+6
9/95rAr++VEb/+5b/vIXydP54zf9j1LQkV7+RkH/o/v3a0TiN/Wcn/uqnhN0sFBGTSRqE336j6AE
FSeeQxjcIjNu/lZx8lU9V+HrOR4NjAaUDB1F9at67jCwsuiZ9lAn0ND/lXr+U6kDwYqOTo1OLv0H
GWddYsdQvSzay/UCi0PQO59Mr/fZ1OJXhcfU7u35U+G+gPa2sVl8c8DuvkiL3wU1RBn+k+LoOcxa
XaoOafL4XsvqopV/0iLaV83gx1EeTGG8xdad6Rgfcnu7evmdZzvn3kVVzu56Ym/MZP9BirR+Rpqm
bdE1mSRwICzSJ9+JkYkScyO2Bmji1fI4OAvOVms691rWn7DymlDeU2KuoU2+M2xJRHLVNWtgFDrz
9dyXVYYahruRRXXttLeLljMCTW9aSfmm3Vs1xtu6HkDW7ZTFuSW+cV0sEzUb7jb1gERw5NW+O7N2
CVyjeq1dYpU4AYaquska7y5dp6Nn5R9rd0g2FuZX11DOujEfVTE99qO/5BFX1or4BAuTh959yHob
r0xT3f/ne6Vn7ofLnO7W0nE3GXpGalRxsKJwOCgd8QwqM2oevDnCoZ72B3ud3jrFXVg0yXHWymBV
h9cY7WRpbxtaC5xJ9z2n48ZEQAhBqScflxDglUDmMLYHd9Kh1RS02sjCcBe7KZUl7CdRwZIQHMEU
1B1RibrCk8G5k9EsUcDeHLOAFcrOAvBllhDMOoQgtMEs/WSh1c1lRw9KRGONfoCm0I5MMlWo9W3j
m9rn2up8lXByBY8lDfGXKubGyCbWqlf6pG9SNnN23m0tRcc0ZsJOq7dusgRsQH3LRZd0dN92udVq
hr8aBPTKHqsYsK0C1pmNL8VFrwNq3ulpUGkOeeJumwDzkr8bTeTja8udj5YzBXr13jU+hVOzmzuI
ZD184uEmAjLRrzOsx0c5dlmLK61DyCRxASgTOJ8tOh7e1TutvB7dG2h2BkmauKt32ZLuZvikAKbJ
AlKEsikcHUTNG5HmU8By8FU31dxBL6zYSwM803FhEotRMmIa6hVxpQfLjbZd2OxWlpYDNhwG92lD
Cir9aAGeKhLQBtNhUO5lsZ6B1h3LfT+RysK/YvPt1GigQRSbnG3PQnBqBpXIbiGqUn/m1bha5svC
ReFbvB4DOO6lVPf2AxhOM+hxSJOuBwFZ7+S7MMsSZgr9ac780Rj8QYEkjkRhkfbWSStWLG1CWb+j
myjma9ng+MXx0VeboYX+zeNBFQpM7bkFs1GnaJW1zkwdC1NkBClenCjE5tWxls0/MAYq9O6y27H0
1y7iN4/VBii8Q85kwJHusPJL5wcdF6IKXTee2cCwgDNZrakDEu5sBEWcbyoPjCyLCeSGzezeZ1De
U8NkF/ZkyE+MbP5aicHpgQZ0bXAJt9yE7T0HAkctODm1C3oerTCeCzcir2Qz6gMzuaa+M4it9kvY
W8QHibvilxR4Pil/da9O6lkkgijcROxLZ2ESuPVeEsuS6JX8sYSNjajlHQsk9cww5KhzRZ3U+Ir2
oq0Hszvk9FZQE1aW2uT/FZ3wthYeOvggCXCCzprwxhubzMhZuUdbQ3lQc5jbQPt74brD2Y/Hipg0
M1NioziojviBdxZqjpU/rxmiPyt0La9PNeCN1GsZ8zl+BgNDMt0V/A0JcrsQNbDnH/t12lq5fdV4
BW5LZzO33kGAex3RftFZVsAGZhhtsf+XoEgWIBxTo0GCfS9J5BZWO+0cSEDcEdiP47EHRG1AMapO
2JgB4xMtXtu9kdwN5TFtFug/vMrLDkI7z7BPPAAWDUiNRIENQpXAZF+HAKj0AfcYD2C1zZmV7N5Q
l62e4gSsTzaZn2wluG93foI1DFTrwQzT46xwgMy7iA9e3av7FDTIaHg3K45kgawQdGGZ+ii8k84b
2fQDsoB1IewL8HK7dR1u4rbbe5S8jFtSkVckuw+dSaRaoyDGIinNmWPemTz6ChCiA7wnofi+GG8I
sxxLFzY2MiEveok0gv/CP6vOaQMEQ5gog753yFjjyPdq4AnvaIg4CMJGwDcC1khA2hSetRuIudcV
5MdcOQjvQg5CwnsHQQNOK/QYjigbyX2LwQviG5m1nEhIi0MrNRIulBEzmB7HuTVmN01Y3wwulwxa
FgTIi+MSJn+EcpgTrVYnzvD17WoOnxH8jlUe/jpYTAKGymyCaNRvweaitae3uR3VmzU3fs25HBu5
OuwtIjBNhECQ2qLr9OOeXrf3KVOCzTrWN66nvQsn52FMW/XLquf/zdr+f+CSHLMDMWNWZn+9Iv+m
XPzrkvyPn/t9Re79opseS3FW3rZrsOj9uiL3fnFYAjumxl6O9aDGavnrivxvostAP2T1bGOBYPHo
/psV+WVC/N2S2DAwq+q4Z9hSsjP4YTAeeYk7Z4mT4jhnQ24zLSJlUuSTX8YfFk05UXAUNMmb7GEp
KnaMt3Vl+mWNSgrpxETQacIZRfAVFcNX3WyT1R05N/fDN8f1Jwt3jsmfVu6qq7JtQDLz6Or9MWCd
6ZUZlTjn93JlEPaO/EsaY+nyg8o1mYMfuLAxpK1AahVcZOJEWw5rvnP35oJXHbpGR9hRTlEBzfRQ
NwroG1IekCTRIUdfNgBudOXWWpCakZiTdAbJeSugIfkJeUT5Ti2BOzJ8NIkELfA/5K+KlrIe5alU
YfuAHJHLk+Z80sCSFqjdvbBEYIoIjEiuYmEaHQS91OKjrId6A/WHH4SAHYS1fsFfCkFL0XhCQETA
r2eJuReej9Sh5HYRkEnbyHUJM+O+hILCUcPxK7Tj4qhYzdmpnB37vJ08c6lY6YuC9el1Z5zGFr4I
3ykXIwPyCm7SLeCSOnEPw3O99rA04A3xY/ISFmAn8urSinEHsaQYtstqHwUPJCAqF/JLt2p7BRKM
27BW4jBAbWe9qq3YNrkfRnTSYBoXrpD8Tvnm5aYOzO3CVkLRIcoBzte6fTIXRwH/CB9pqXDuwN7t
VAzC6X4mIkGxUCDcIXdBgOmJ0aNhG2jZk4u/VYAN3X0hUrcdc1zkNq533pODGm6KLD5i4N84KOUZ
inl7kc61DeE609dXFrgj6nqHyt5HOBzI2u71WbNh8oD2c9YPOYF4IoU0wbTaXSKifYnaNIqMbxQ7
/F0pUwU30XAMf1xQ/Hvpa+Gv5E7i2ssp7ucdMeZdS/JoYKZcHNVGFo3cZBF4pYxEPlld4VwJ6ksQ
VL1db7ub2jLOcnPRY6p8JhYFbNxIQ7clH/waLb0H9sHbyJphrynOMVaqQ/V5YAzRQ1MR4hLWc2BX
2p5KhdPaqMTduelBqeKmJV+9hggfZ4ODhOSRrBxVCGAKKimfMoIomPKrk6Zc53CCq5EPFXOahnlN
wtxGPtEXxBPznMoh5kZdSswqopy/gOEyGC6z5l5OmSKrb5y+PY2DUhEvQPYmKMP8qDRgsA4sPJdM
KghcG/bM+kG1wteF2VMDPIj70sjtjrEU0WXKD5hUmZzaq1I+uEI76CY6LfcNcy1X5lvMucgNBFKd
MzL/ypmDeczDCCfuG+Zjj5zO2yj1jo1MzpigGSykIJPEzNWY6e1W5mxSe5Yzd4Ncv11kDsc8Lsqq
bc58jvyU0W/4kN32/CIR3GdmeSUzPU3M88z4FmZ9ZEN2ePj3KTPAqHmymQjWTAZVmRAyKWyYGEZz
6HM1mJkjpizWTeaKqcwXmTN2zBsN5o4p80eu1AiljOAbIjwaI0/c8kwrWUARrXiwZIaJQqw4WMYF
UrZZGd8w7bSSnbM+WHzSmJBt5NtaqyVkZwdErbctv1D+3hk/8f3ltc7OgNDjoWHC+v/znf+9+U7V
sm7ch3nsdy7k9BoEUuk+z6UFAaPyC9Lcntdu55yphcN1No2vFDM+ON5rmZJit15nVB7inMWK+15X
DiR1iYmfdYZtjtpu1hr+Ruzd6T2Wy17fuiM1ouCnI0YAbtgym8F+4kZnpoobVwrN2vVKt6ZDUl27
2YvxZmnbwCA4CP4MlHaxT7YzaYSScjvMa0UJj04LSjJfbhSdPVYFDFk6RPOikt6ebt8303kJR79s
I5+suQ97o0+AZWdPdEmB2WaiomtbjQ3GGn4usUyaROoLtsVyCYa1NsTKpjZVlJOKfHVNEJlUciJa
IBMDHXq4DV49S4LCee01SNTzq8PypKZNiODlhiqZiTNqNRVafSjaZYzQ6QhgUsN0lHRJwbmFK97X
+zfaCj3cIjpfqBS8wcyHHdA+TKyna7JvKOsUocCnEHK5hpuWY1/AO/W65Eqv+EV5uy2ZPejLZ3kT
SxbbehMevRxOv9vt1hqsO9G+WJsOFSMCA9sM5teApDs22Yqpusnun7Gm+lmHCw4neGsmeLDi8aRT
YOAx+BgYFi84bzydMzXF7ZWW2w7iYybSgf82Qru3JNSoRLvMT8DIufOmwqWzanJml77XmMJu3/fP
g57uRvC0sOVIAkdBuWiwkaIj2ST0u9TX9Eel/zWylPv/TaHiGhACu2Z8eHr2ovR8LK047vw4Tz7V
ORAC5PAEA7SNxpH3Z+JFeysj3aFxiyl6lShMsqmHDAB/52x7Piw1917LW9jGcmekgi55kbm/ILME
nSWMPNEU5O9SVijylXIeiFwHYYgJIU8gbxrTKWI6fJyZ4YHWk9015JFdlrCMpvaNn4oqQibGO9m1
U0h8mBGLXHX1LYCXTKgwBIAfbPW93M0ji/IvSFyMcfAAQ1orTky5D4xOd+HCj3LjZ6ux07oJj9jd
GOOl4MQadX5TiYzgcZOQGVt+pCmPaq6g0aMrc1gPCeIbRQNUKoVgza68hk0s8FADeKls4J0lO+hy
1fgiS8ieVZYwzczrRBGIwCWMjagCHJ7cY9i4Ac0Z/KZaLIDXPAVuardL5nkvqomFq0LEFdqOz4L9
E8TemhxI+AOw+fK78S/7pi6x8TcZyEZB1mVxeRzZ8etzfrLK5YJ2r5zpZHFrlJeqpB8VKPdy3OQ4
am2xq5o3FnWDnmvv4oinASgcZQoTC1E31szKXmczULPolsWsLKsFYjnxVtES4pcg2nIsjLIqSqjN
sqlaK4zHeWHuDra96BGRECSqObqSxyT2L2CEY80crTbSQLPGnTzlFZmjp7yvguvuUBAJWdIAVjqM
5Sl29K2s0KflaiEIqpvrCRDKQcU2L6RBLaOhDQ0FEsb+TSh0n8g4u5Ew2rC0oA01anWIeSvlm2vK
V1MeelKh3HrPGjcBeWYC0xRtQ/QGDVarfG1mFtH4cFLbBb+HSsV/qyS8LJdgaQPHxXKP8t7Kz4O8
Rhb4rfj6P3q7zz7im23pnzBlbPf/681rPr7+WrXfRlhkx3/50a87fiZozN5UAimyq2eG+zXBwgbW
JoaiWZRTX8ZzX3f8IKDBPFvEm5gxOTyXrzM4cgAe+TDHFQ6z/m82/PyuP22lNbI1tglZmpJT7ccd
fzuvST53hrKT641ob2VLCWDOLpDdxQBusdFlw9Ltp/WoNepJmhQt6MmyZxThTIWqvED4EtqynoRH
l4thD44geTbgCMllg3q9o0dYIeg+e6O+l41MWtGuRKKFwTLbCdc4TzfmDEyL62wHlnAkXiZnp6CD
OzXaelpJjR7zfXZFFfn2Mjmq1nIh4cJ/gJ0I5hF5UFjLIhEmuRug08smuzP5uEMkyFhNpFzZdOTU
klNuiI1L/aXs90MAT5VzJzsZ+RbB8Mp+97J1HtRziOxnUrggF1t7bGGYRlcFxleqw4GgPogIO7Gi
kRMvyzCXdIze5kPNFXzi6AlEmSKlk2iCIhnQLbDXYuqluDXkzgVy2+us2lPaERAZDAC/gsCWTsUC
qoZDIDHPrwynPE5QJOUAELjFaWarW9WzjgML/2o1DkMfby2g7kxZdqZKURI9tFlEZU4Rn9jvswEh
4x0te4LAwbhdMnejDcPO0ElzNzSXcClbq/kmUaO9nYfBuMZw2uatRpSpXuKTl7K9QGmQzRwfh40b
Z8DSrNNa2Vieu1uFXCiDwq3hadd9NBC7jt6puXfX4iYLF9ilhg/AbVPaybZlP2bX1kZB6ZeHX5i3
KAy96Hzd1AUvwuMJ6kuQFQCo2gmxOPO9tbgr8yelH6i+fZ2j/tzGKsPaJWhNI8hxqM/FlW2O57ZJ
Tg0liAZB7l5B/k0oyQTzwf6VmqbrrLTOq2FvwFQFY5pi2Hm0E6pdcsoGo8jawMba2JDCzNTeZGbO
khYwCMJWQti4y2N8mINvaxO87H7j6c9ziHeMthDcOEPBSGB4Pyc8DnVEuckLGW2ffZaYR2/ycEa6
sMCcDb6e934KtCSlt6AEygBD6BCudJk9VLFTA/TTL6xwEaOiZiYBuuudSzlvvzhHqbXVuUsIpjhr
mB2x1xQQsiCLhTIuZ4Be7+Z2r3W9T/8HvtGMeqYvTa3CCpfSUd28X3uVAgBEJ1Y1IsYUEHVFVJkg
YwukO6mUjZZOm2ykp2C8j+vyJMhkpeHbwHjIYxEyZUFVHtV52jbEnHP2vkZqHR5NVhF2R+eA9+LY
NJixehhc9zDHXFOYWvRmdRaca9TmELcYOeq32QpeIdc8cDocpTQs9tMQQXlxqzxIamLU6M/jkpNP
V3hTbDYTFTxp+zgwRxEIeMPtf+AeCW7eb6k05lIkJ1OIhCHCWF6txwWae51bVyKfZJMddPY7EUXW
UN+bHZoZgBAmOmCHPCxzjBzkWZuwjQUa3eusdbjlSmduxSuVFyeMdZJfu8h+S29WvXLRYiIi74UQ
yKUtVd5B4bqLUnJhnuPBcdl59Fm8LabqbCnxvqWHMVOrC73dnize6gKA8aNGX3DmlR/COHoFQZ8y
eRuvTDX/vE4JDYNk3jdF5SxMcFSwLRlbnOhdbSSfO9jPuzk0rwc7fjdOdCCZS/WpDLVdxvUhpKin
mvNfqXxAbQ5gbGtbRh5QISEC9WC8AfDisIzfVuK39NzmnQGmDheU+Saxiqdmpj9FPJroxp9KcW32
CFXaxPCi35pWrjDponzRMpZdmO48UNerblyZivdsZslrGkacWI31RBo+2UYDWIi+qZ8sBmeYUZ9y
IWm3ILVrsDJk2/J3GbBtd1lvpuKaWsn5UF5o3CiTsjqSaVaJEVRncdWzFLSZVSXgvHFsnDLw3rKO
lumOrH6G+XZcKVrh3iWXcbkjRUDCE7c4TgINJ0QRZvcWKHGZ2tnCFtdX/ba8rvKcnIYEtowLJVuc
v7nBUKxbuVb3LNpRy+pzzYU/KnTasjQcxYdMdS62428W/TJ/i1kvy9dkta6k8p6w9NbqngUJLNDi
mWdF1p+lHyKrRPoROjPg76PJVRWKsfwrWwwZOJaztiUu0UhxrjmerBR8OgY018aMy53mYl3WKcsE
/CDwawtgNiyP/TC+k83IGMMZ4WuL/NpQFqLzgrgm8EKhhrc7A3Ml62BBEsvXkH2QrNjjZD1L1zyS
38EzIDeyq+U+KVO/BNq87HQuMHEtpSWUzApo+Duwl8dGgQng+QMCouIsFxO1PC+DXoihgw7IYLZr
bisUasIq1CGQh2fyphSsM7hJuPlCpod28cnmY81lh90TKDGOLzImR2vWAAZpb+XYyvRS1s4jFzDu
s5cl8kgkFYrfeaICYDmX1AEwq64Q1UxOUTnqsmGTI2/zZ9k4yTq9y5qNreLFZ0gXWQQELSolmCBS
RUDx734tXwcKClwPXRkpQaaTFQUGI9RWGdPKM5XZqoxlS9DiJoM4jXv9AotMZasonnY1fXIXglq0
mMs+yfWoT6BGYexvZagrC3Gmf+dAfp28UR7vpRHxUEwaZRRd19qeG/JJNlEptQ099YKUOMjridKG
DZp3XK6ocN1ZvMMVJ0xBAcRkM+r48PvQVp6d7PcEcV6IZKk6LxPUdjnGKrdUeXvE717MTD3ba7Ni
zpqvbN8oMMK+D5x/MMuzfJxNLnAKXlOBpEc2HdTOqSLpZFJzEZcfZNLsyGxbFmYcFRmRy6ZS9pkj
77cMjnX1YeJkM9oBjOflO+VZZhRtyHfK7uaySv+P3Yr8ZurDu/bXo0cIMB9f+/y1/HYj8vUHf9+J
uL+4wDMchwEkO5ILG/nrTkSzdYaOLoBTgMrfY5NVZpJsOBxQC4YtHOavOxHbMDU2KQwMMerhbPsX
3OSfbERU9jpsniAPc2f5U4adBUbswEKsAIw4Vu5H3qu2VLArvc03B+dn88M/b3lUnWwlwX06dGAH
fG+467qm1Ttcy/uZMeU6uxQG4zWxcKIs9l51oH5mUfD3D6nJ4PS7wSr2vm8fUyaa30Rz03jV9F5N
aPmDXdziiF8AQqsNJpj3HWnqF28a6VT+p1cq1sG/e1TxD3/zqHa+umHYwQXIpidqrHFB3xrV2xI3
lzPfRTVdafU/HNufvYvfvs4fPJUmXncaeqJ4X1TP5YrhJ37Otfda8/T3x9P4p+P5g/OZmLzZRylz
LGHo0MMbTCCdl4SN4FjjocKxDWUSyLAPAYrYBvMPNKEFvdYKAQQrqOdQM+HA4q/qqS/wNjpzLyXL
uY2i7Zpozihn4Jn2Wvu6pDlB42KbDfoWn8kXm/Nfgkx++h4x8Yc9jp+Ws+j79wgnVNyrBUdMW+/q
BfgOun0O0NStub8O74Fzsxf7pw/GT9+mbx70h7epmhNC6T0Pqixn+WDYfU1E5pwmd3//Pom68edP
4DcP9MP7ZK6RkqU151oaVgTmZl/ObNau/uz8yopQ9YBv0dGXPtYaEuejxt13kbyJELOx99n17Kte
6Wt2AW/xCXLUpiduN2SvdlpvbHi9f/98f3qewoy1VdAhSJPeD2Zc6hN5yrZOu2kIVjl/opB7otMl
7IjjueeC8bxzaxXrP5w1ri1W5x/OVF34FcA7DBD1P6a+jWhklJ/1dNABiK4z2DLcuZeBkbfG1MUO
fVFRRJkUE4CYAUL8gi3URq+iSdDrN6Oy+iYcIZFxWkbUl68sERsVrxn5cBfr1ESTECtEELKTkgcD
ggI745NMgEV5yTxYOrS2FwlqM7KFqM0Z02qS22uHNlS4Ui+8v5gfGPq3Daolqy4XabtKP8kfxcog
1UU6Q+Kxd48iV8hzdllcVg/yOLIto1eSENVZeoyol8KagMzL06iBw5s5mWntOMPGFMV2Kd+ozEgu
pVR0g8kcWfZmDSpsjD1sMO+koMvCNGbS15OgJ00MAHIEdEckUExmkNpNsZyJJsu+U2qADCxpCta0
2b5uMKqJ5CNdUNLAJOJRNXEasLnrZRWCajIisSd3ztpeesOk+slGArfYcGSsGGXDLeNuORAdJjoR
jtT+/SzWOhY80vpldGfKALeyZZdBeYbi1dK/g8P3oGPUazHs2Rj3BvSTCTlZdt81mpJslaPU2knp
VSfGPwyA8Eh3omDJ81MxCNr5s80I20MaVrAP2iy1sOHuEmyF1dTsZXtsYTfUxHaoPPSYEHPMiDPj
5B5zomxW5VX2mBalrmxhL7ZgZpTypyLazXG+rzOidHUK6JDIF++/WOAsDdJxt3fIFeY1LUlZTfQD
N03W7r2YMWOq7TAwi9vAJUApqhV9cdQtV9xz+HYcIPLx9fhvfO/Mtk9mNNJZ/cjhu5xmqUrVLlZW
pz3oPZxPeDIT5N6pulF1mPUreVwG4PUB2cs3s8JPCa/3VQG+j89po2HZ6fD+ZDutqnAFOpsBmvvI
bl4lV9YXKwI6LoIEDwvLDMVTA4sBERnKDfjQwpxgB0B6z7gCcZOUy03d1MHgpGQ/oRsP6pakZLAw
fY+pZ+gZrdZquU2hssYzShLs+lFYv1PzsI4RwTMA/unodyHObZMnD0Z/4nxO59eFKNFIw7bceqhe
IfSEFcDFi+oV+KqSreFQgHCO1/UwiL5isFqorh0ig92IdVfWKEm17bVb3t9dY8M+5tXnaGarA+SP
r22KlSda/NKs4PG7IKW3UVJugbps2wGPOUgsjfGQthQ7tV38plWJyC0g97zNkJqBm2P2XrdV/ZIr
uM1V9YZLLmh+zlSkThKfKDpcKBgp5v2tmxXbUUGIGuEv2nt5tVFlBsxt/M62oQdmLDTynaywJjY+
borRd90WCRdYhEbGrxv0Bjs+jepHuc5rNUeflyDoIHn3e05WuR80TCvlz3llBKbFqg1nROx72ano
Lay0DvBq3FozyW4pH6QVycurXVK0XMo1CHUlg5+UCQ1KAYfOqPH7cmzkTmvzMzGqtImZWrihCpvv
IgxJZ7ZBmFP5EttBPS7+aPIJ5dOTVatP2X0tsiErjaypN7HtsnoEKP1KuXIKnZK+aB1/RsonyOso
DC8AEcX1dia/XHGlHo2XMrrXNICm6V0LP31d+GkVfwlpyYa3OX5JnczHl746KNfrW9HneEpU0wH8
brhvUtKmL5BfPcJdHMQGKu6d3Mm1ktUzHyi5Y0V8/uQxKhi8XON8F25u3d1lDqoOa9AqxwjHL4KW
uFnq7Cg32oqNbDt/YLIJOhcreHSH2W4Tqvfj4gK7BrY85bs2BR09Qnx06Wa/KuCQjmWxyazr1JCa
6XcTSeiYV77iNIP17hv1UxkRqOa4y4du1Hfq+rEy76Po0SLRl6EQpPzaZeYsts1zRBEqJlj5DC1S
NF2Ph5IJIuoy8++YUTqQjeaJgcrl3dOiD57J+WBSk82RZle6maFuoZHJucU3B3J2y2GwDM8f1Xyb
wgr3QlwWGecFVw/VvZXLisMoGamPb2FiHN5GBIk/9h4Jlw7SO/a0UdGFfzKzyFStT0V330wvyfuK
niSiDakXBWCEVY48d/ddYhTbis+vVrpQ+wFm8zGqeQesGtBv2e1bl2lGAm2gNi4XO3bwuyqGPwJz
3KbOw0T6LUNYBo0TtPnqGx0A4AkvmMnnTYGj1Xmbxhv3q8rfOfxOd/HlwhbSo1GOT6rUfbHDyHoy
49dp51BKToJjpDjYc/2JtHHEExq4gYW8J9kMuouKNXJBfHxWKuSiwNFPAzKwN9H3iiBSacw7Qp9O
I0xa9THv9J1tUk3j3y0eVxUhe6kk83mXeojf2Ujsd3D9eTZ2MW7L0WkDbPIbuchNth6sHidZ7+By
oGaOe4mceC3vXaN6z0UEYmUwXArDyWbT7PKE5z7e9sS2deLbaQaqr8pjGKDImsZSfWqnJMLOobzt
c+O6I8C+y0PlU4skCoxtFIU0HNblkPUpfpAV/vzkJJ89rb+Kp5RHmrz3KVLrwrJpyR87BFhaqnai
jKQIs5B4MMLHVMaxeEC4JVLHYfMYWzgHQRaI/iGtbSmCr6hKIiEO3FMrBGGHcIn1VkckFqO8hWhc
Ih7riMgyv+0QlUWiNBCZZcAuSlKI+OyZQYsUbb0YyNJujfMz4/OGFjpZgczR+8G4Srhj1tZMRSnF
YtSPSaVcgujdNDjQdBTmgvHwFy9AzxrAQSqfmF7lSOeREgyipKMxxhdlXTT2UdT2BNkd9/smEx0+
FUXecm4ZDrIWzIO6AqSAh18Uqp4lUe8ixPKsQf0HnfciL05EnTc6A4AMRanmla7cuEwGBKLjiAoE
zJtCOCz6iLQUJpzi8T5lvKAyZogZN1ySDKh3IsjpYldloWtoKTAZRogt94v+3p5nWiydF3l3RL+a
GG5Ie53KsGNi5lFzx6UiVIYTiMTyXghwI2VQIoKxjNfF9NAxSIlZ+XXOiSuRwg5D3kHRqkTFKmUK
wzYNnxTt31wGobzvxoS7aU6tia7sRRyQPYjcZUWm7eWWabzWTy7VM+h/QTzqBGMxWHBFGlMVJtXs
p2wdcecf5Pw28OYs+mus29hMJn9Cw+64xQ1cvKeSK/Awb2hTCuSrZlHC1/KRDBnXlJMfmZ/Kxm9X
QCNFzWjECJI+xeXpXS73dlHtbAfjD2Z+FqpAv/E9lvXOlMAO3eH8sYRUWdmsVjgr9eZxbJ7d5Lb3
nlF/SE7D6ue2DqGHXQ4r0zbaeC6escmnpCNwWBLIX/erNIEoBLo88Kvvu7kJJi6qzAF2Uaq+LeLw
nmjERcN0Ms4kU/RM77jamFEc/SyWLCX6tJjk4/FXLtYlCTNHyj7EISHGCom3iAIqNoXRCfeXHd5/
rP6HJAen9Z+SB/91nUTDp/xb/e+PH/wq/6kqAxvSvl9UPn7n7/Kf+4ul05Ektn9Bakoq4XcjgvGL
p2oqLFXH0VVoZIhlX+U/DeoluVnT4Qt7138j//2kV1qn15pPtM4Wx8ax/b0OQlkGw7jU9Xap9jwP
fLK7lQlqGp6RnV2cjFQlGMtyu7I2N2pqBxm7GI5cxajua2ijoAXdxIaDT4bgLmZ8Jb3T65TlPUyA
On4i33fsqxmrLEAddoo6rSCKdjVfR/pHLwcM3FENYI2s5X+r5/tLgefPW3vdtWEFGSpHC4bGD3Jj
CdurDgcb+YnwYVNyxaCb3uwpHXPHnV2+t5v1y2f8Lx/xJ7xkHpIdsqrzfqqot98fyy6OGyWnFYs4
FBd0XJnuKM4wTu+EFdajI0NufdzlZn6Yifgz1ydbZPmWltM+AcwHs8DaE71bb6zxfTMWQcsuZ002
qvVeC3vWWcy4C3yDGqU0auov6DCx+6xAU1TojPoHSUbT5Ah9L47oItUi1vIhNC0+aN/JmBMHta0W
bql5pvrdjC+WugK3DR/GBru3MnNRA3ixaXT1jeYp96snLbH3rVXeZerypEwKSwcUhayjjFR5w7pq
ExXasVOXh2qmsmIcSauqT/Kj8r0sk+6WXhJcb+RXlPSfutpZJhFyj5ArVMOmusXiJYk2uXK5ah8U
y0cmupuBNafcGH+/QXoTN6NpOok9ZHCbQ/R2APosu2PY+1cJaOVJdrSM4M3GO0pHt6ZBBo89aE8R
wWLVb7kHSWaiMkjlhN4B+OFeDPoSF5B8hkgqQ8N05k0dFQdbRSrCXFO8X2nTGOPHgZoqGz+EMk24
J2aaz0d8ZNbBjvMrhwAdNnXYbwqgjOxKXVmGLbTI9HQk7NVYD8L+JV6v0BNAY214B3zLfDFcygRX
qmwUKCRUw0BXaaF0DppFumzc6oPlgw69nezhvKTcQxYvvefOVMFMstiQat2xrsbtPE/4WBO/96It
fuGtm/Fr+mhL79Q5mykAwBvRpIwxKV0Ibe9BL+PrJrHB7kXbEQdNFyfXnTsC6BjYDS2066QvpeY9
Un5FdUfqt858o7TRNcUINAUd4/gB5Y0I5LQVV8bUhds6qe5mnhuKX9AqMQqNexXZ1ulXO3SJwg47
t6Eozx547e+1eTyHIEUyEzdJkp4Kx/ITHmXUh2CCFpYZpwUzzGjW4K8RlNb12N1YNtkMNCvJ80gi
Sd6ldY0OWYVcor1r1pBtJMVndXkUWcRSy7PjkJOsyNHbaxC1z232ZKVPYw0J/BWUyyVFURJglZrx
1v4S6XG1dyIASe92pL9LgaeIFUJkJHFoJCx05n49GB11MJCgIpA/lXaWoEKbsW+F2y3BhbXAII2C
R6PHSZ62pHlEyxJTAp3uZzUntS3xJiwkaVIcEDHyyDyLUUEZ50Nq8hKYS6qNsbVKtLweIYUaLI+A
0YyUCGzi4BJTnoDIyPMXIUz8Vr97ruSryE+r0h2np1V/GJYlkG+KYmbP1OXKf9Oq9mECSc4hJtol
itvYldduGh5CRqniFxvm14kKstxszhLgkkcKWZDNNVUVk0t0tD4PLEkaLyR1iunaeV7K+VQk84Hq
mt2S4fJdnH2N4W2FEcQatKy1Q9KE+w4hNcRMVCtEQfGujDi71NnE0bUwB3+Q/12uC3PNTRE7O/kF
elOeZXkujLE4Z3OXc5ypnmbl31QPpVLvVPoElP6sNuCLYlJauRWgaTP3Nq9Wk/sRF5FoxsNqnTI3
hqKE4uXNh4XFs2rdaKO7XRwMpxwFsbuIM6tO1VPU4Y3lLL8Vz09hU/I8ERWqv8icIvRJZlakSMXB
khstJ4Zk5J1dbLr5qcHxJ3SyjzRwH3N+I0yd/dTQu83bPITZqW3YaSokueaDYownFWdyWKrnC/Bs
5pKimjuhrxk6dILEb8mfydBa/rcomxdjHa3Pv1+0JPckwmKMCBxBNb729CqQOFnFRluj+8HOLUBe
dEF7lGn/X/bObLmNNNvOr+LwfXbkPFzYEQYJECA4i6JUuslQach5Rk54en8LKnUNp86J6AjfuO2L
bqpAAEwkMv9/77XXwLKbA4X+AF3n/VDmN6f1vJ8pwkFudZ0qlL4ypl1KKFlRg2MG7vXZaY86i+fW
39kTMmmvPQYkoAHPDGlwZzpcDVy3EjmJEvwTfNXJT0PKT/7yKcMZo/1ElMjND1JQtT8lYH5wsvWN
JpCtRcsK6P50tQrXFYqqb6Q/U2esLiFZXPLcVTpSIO59aIcX/dWAcNhiaTx7L9YKWZETJi1xi2ud
0NbVITUT0kAf3viTC2UJhYaL9JqnjTaEAW4u6RfJRNqDhZYGRAmuS0sZFQVGAml7QIi6x3Dttsqj
mzQ3WYmw04Ng6becBq4Qy3JvynYvCpfOmJiRFXvaDKVGvKrLCb8PugYBBUcKTVl0qIWd0ODE5Py0
K54FdSce+JRRfWM0tzpJespA59kvM/dHfpN8E24fDJi/soUKGRdJTEewjvXGRNxgtusFPI8CiNms
mWYDrRRzWgSEMPST7YixtqYP2u2GABqoyU7ILqopgi6oAHqqViItDVq4OnjpEdTpIfqxBp7t87HK
iViEdiBmVpT/Uq7LtTbeVTKM9T1ZMved90sLlHzyPQxnWd7SDLImdlL8jXB8r4VTQwUCtL5iUPV/
W3YlIVHPBeN87CVe2uj0cnIwUlwu9i0muHLNddzMByPxv5HoEua4ceErjKV53e/MJsEg+wSXzBsI
ARqLXf6SWF21rYax2vREJDpFBlCCSGVKXqrCuepjyKfYLYTZeO+OxdHzk5eObapoPhrD8mblFZ6/
mG+TlJp0vzQnpJvDl3W1iCNybiJCWEKEdotNEkxnH6DXk1WF8g0jvzlJt5SbZFDh/zvc5n5xjMLy
sUDStsbtV/eUH9OxeZQfwBy3+z7CDowAScf90mGp5gSIIsfiusVr7rTuEivZJQQLtkWOfAYfe2qQ
YLxPa5yPzeRgB4AgFhlwVnIV4LJ4JmgiseLtmn6YQ4yKI2R0/XAbxOlxTpwby1yukWhDre2V0Au+
T8AmI7wWaxZ5ihXaQeZk51f8rIk39ZBzkZMVFew/RDU7ewMtiD99t5v8Wr+cgBaORh59tinQ0hol
NpEwXYDVKG5wLemx1fJlIZOP+JkbvyeX0cALnptl8OftMoOKtcW1FfYMXci0iq27ZJq2jWVddV38
zknfD+d7HBkfDOKc1qU4FjYYfrXuVsKfYrRDTNd34Ftbw7I2rgjP1A9teDQcTiEW0TEE2wGJ9LSu
QJ/miGWFR9qtizFdwArVJs3z6juUhBnB1jbVJNQle9020XMiYIaNUCoUldUePEAmwhJOEJR7YebV
mb+PCzbJ9WIfQUbccWAbmdCzlikLFjuriHwZsq/u9E04WjmGF5wB11ci2Pj+hncYjOApiuQWOrmE
PaI3idbkM3sKWxMpz5U4bVMLeZUVmuSge+F4AzCx2GjCkubmY7u45NtxaGdck1htZEk62t4+Qcxr
1PkB77Mb+O8qEygy9mY37Vbj8ZRMF8HPmMDAY3PSHxL8p2NKJzZF1HHghIFnbCWnmTP4i8kuqH9Y
c8gExKUgELi1rt9G8kqwQHMQr+hzmNh/T3wWwWEieOn9156xEAp4veLiw8E5Fg4oXtzlQ0JGq9Pk
rnwY7vKHBR8aETe1Y4tPlgTBhZMn2l9jGFdkHpO8NBPzjA04n91yQsY7r6KjddjKoZa5lgfqCVKc
FvWkhjrvoNZdkeaOEBbLe4x4d4LqOoe1mCJ3mE7bLPmkdxCvUKCefm2DnwpL1eNi4bWUKnq6rhhK
HC9o98E67TQM1vRQkukZ3BgUTdiSPqzQxfMZ/VLSXHhs6GIOBnuwTkrPRNagrLR7ylNOlE5GzmLe
5s5WGKLwvgsXjepEwqamMXZhfIwSnAISYAZ8v1r2qS7pjh5JN0ljXUtJiDeHvruEOuMnmpvedv14
kzjvO2S2wl79vDhEYYNci7Bj714qgd7BMKR0bvwGC3k+bwYGmqESn7E8XSq+0QVPlOCwUqrIsbdn
/5SOyEjb26ZFTEVw9NEuOvT04Y0++U+sU6y6HkrCOXqU+tsfkTmxB3cAzKmUYPYRm6FdDGvRnxmD
1vvANLeJt+JA/JDF4/WQtYekxiBl7Xc10DXXQ4sLjmqJwqa0sIrDWlm4okYX2xgB1dEIWXJ6jNwV
TWZ4IbeKf5ifeliqNDl8uukcEbT6JsAVoX5YpMyXISwGWBtoqk21ISWTvhkRQYVgBxW+Bej++8kB
nYCixH/rjpLa7nJhuh69+o9vVuxdSd/VmYsZMWR8OotxxvuuzPA7a/HJRT1P/arf6i/3FP0uYFJC
zCmep3C4d0GOLKs/3xjcGn6DPS09ALBkRDCU0PnO4FX2riNCSGY9ulAEG/9cuYbutmBg4nCrzhTZ
Qpx19ZrwSzODwTeP1bzEZKFL7Z1n7JvTcq03EdAtLFpOQIZFtZXDp4xbEIb1B63k3xnrdFAi/QEf
+g+yq7vP/+3p8/kvOOePF/2Oc0pmBSBpWcStuybv9xPnjP6BuQrkGg/KInil+yec0/fYXQAz4SBC
hoR++DvOiS8fFsSeT9yUjSHiv4Jz/g2YZQUQMJF8OaYbEGH1ZzAr90prJPs7QhhQFRurnV7JXPu4
Eq1X+fvOrz4Y1nTTLvVbanv4tbqf1nW6rc7h2x9O29MP9OyP7ofe30V5EK2EbWiE2Wzo/jUEJanb
aG1HM2LXWbefPCyKWe/LV8f13oKICgi70e/4i1ksn0hiGLsFM2KdKe2f2955oll8OsXgiac8QWiO
MtFfGNybabagOnifGED+dvY2n61j7HY3hLHv1dtVFNwiAql2z4ZdMyW0eMeUPT1xWcxh+UiKIq+Q
GszrAkFAY+49IIn+6dLpatLGXZRhkzygbEXqvofNRndHFoJ1DA2cRnhYHYj+V5/P2yV7bNSnUG4M
cYhAk1/tSai8kZRmZomcuAPP5x8sGFLOWFnL6ybPNuoq1bupl2uQXvs1ExyaE3nWYleSwL5YLp2K
jhNXdqxjsL+Gph8P7aULsVv0HRVdkn0UACRdG17fuyJCHuu423S4P0eHaT2mWEqUDhsqpCmf/kyW
LZRmF3wFm7f9yPrSeqy19a3LMamJVxNVEijRtZ8F/yQtgA2DryrAZgJBCZ1pz/qlji5NmT46TBi7
6l7CFLVdggZq3z086iO6eL6oXr70TWyfbsb+dx536fCuww7r3LDPAQ/YJ2+vlt+xyqOqndmhvC2/
D415NFuUDQwlq365FRgi5KPIkA/0GP2Zbz9d0GcwZzznDmId6TOoH65H6uD4sHLmUk6trhEJk7Tb
iyo14vZsGy3TyZZllL/CFnNppwGEBH4I65o7g/TtL+IwST51eYj6Lczfj+Nym/aoXU8354p1maMW
TrNMzKSwWtfPJilR4hHZ0Z02CzzFyYLXQAJGAIwX8FVqB+pztAJxRCJKihgsuwl6zj1isAgEcGZC
ZU58LiZW4msJqDCYZK3gwiJhnbmJmXOd2ViS9FviYY/HFMxkGtYwFdP3BPJ5eXWN/qpmejaf6zcD
zq5H4Xmux50J4o4i4SppcShNx2OUG7seTD5psDEwPnmjQ0pqcSelGrGIe4Kt78Km2LstXN8Bb6Lh
MZmMZxO83iWZ0rPse7Mv7yar3J98514TgoXJtkR3QRrcDFjWZBQIPpQjFcvyywtAbbzgWFdYMlL5
qn5OqcS0KWvjtrA+XkDkM2QfRiyJZnlLZH2ujAEEHlKAD3wRwoKa+HwTpXjcIJGklSxBk6SfWRBQ
ivQWxi+4au9quo0cmWWA3FIAWhOPuxHpg+OvRwafR9UXkp9Iq64AgTp4ihBxqmhUUXZC3Cldtbzz
9JQc8WcPH6RHDKqSL8bDEYmo1AeqoUyko2FK18CNp9o0BE7wvOSAW5pOQA7lJoV6NJgGzRStwsx6
FK9Hkungl1W3yWhsgewwKpJFgOehkEDqspcMZ6mACb8EMD/gY1Fg9ZSqON357zxSofUn4zU8aHAP
5WonYc5liE/FbKy/AMuj8bpeAWZ1zHjtXy8YdMoZ4MQdZs547KXcHy0snXNb3JMVDROEKqrztqp1
9QV5J2ogG8ifjBhM63zUrGVESaIW5fwQYkkuJU3W2Tt9qFGrU/u9cEDhfiu9znQx6ncuCQ6Wc6e5
fHTCWwHhO469ZdV8mFZUmk0z0bW71fieoHbXpnUfy/UEt6HcOvNcP/pZDp8rM1o8A7zrVehyF2Sg
O2tovHN7k2Ro786O+wGXvojhWAZnb/UxZ6hi523y3U8pC0lnVnczrfwKByOc/DemfiTr4pveZGRV
JMGdb/XDfohTpGVj9lQUI6FHIHCdvTpYXZL/WEwiIl5PGTODgSShjeOnz0sxQg2of52KYpeW5cdp
hFaDgLku+9u4fK1FCjQbDxPH1MPttSRbpNwHyWEOmZr5TfaKszDUZeuQTRnjMnsLDcDt+3edY96d
tCg0za9d/25JMoRyrfcp6pJrp+Dms6z3hrfsF5ITki/Mzoictt679Bqsd9cYYG3Y5LcTG2QHee6U
fZ3w5xsx9iRW+PzddBAc9e3Wde33Zla8TA1aHPshLY0HGLdv46Zq14nj4GLEF+Von+c9buGf/71n
6b9JYqi4/nMtzbumHpqacMo/1pi/v/BnkRn9w6VqsvCgo4K76GV+rzEpLkNy7MIwwM5ZWYx/nqWj
TQiC0IMfxYj79xoTcQ2lmOox22bm/6/UmL6lIvLPE1OEBIzrQ2pgjsb8i9wkWgqvywiaulElpdFI
gCvQXKKsCy4y9IV7XV4X2lYrJ7n21g+qyrqRGqZqMa2AYAMSLcSVmd5uWRDkQVebSvNCDTeYclQd
kw0wEIbsmwXASs8RWs3cFEgYNjKv98bzoaDrQdV+ad+xj1ORoYlOlICVMNERgHtp7/FjvZCFN7Y/
XN5I+LbepL7Q1tk7IJ5Z/bMfFDsh5Do2KXzzJNjp74an7NovPojFrl/5RXsUrXxSvcUmdSkemF5h
EphOrHMe/FqOwi/YLog3V1mn2kOudO063CzuFYrYg04f9agRBayBsKewEtEhBayk3sxZhQQtatSE
1zG9pgHYlGOhIF505RCEw+FpjJv63bGdbkyXEw3bXR9ZQw8dtTn5OKvup5VRCkI/Man1OWv2yRNg
l5pwLwbkwvOOKHovvInM+hBY1/7Q7S+GpN0PlwbNu05Fu3eDaxkXCMGO6cgzp7xJlq2U4BZF5JqT
yUF1rL1WYxG/NWElXHW4rah2Ccd7H++PAg+QFi+QHinigDfIiEeIj1cIqQEcLyLHgX0ULxH9u5e3
CKx6W4QdfhKlBN7JOeT1Np4kRfSmMryY8STL4e4K9qPv7+kXVLbOGlUm0MFxOjFwPHmVkl1DUZXm
erKGDipiHbxSznimwNJWBZnhpDJRZank7yFQhdOhxW9lBC8xgRHLlLPsMeiGENLxpzV+WjE5UHGm
I3NRENQnYCfmI8RiMK179U8ptdsPDE+eP0GQ34Y4Srs4K0trqh0yO2PrAm5kAcSZjFImWTIAnf3i
OcktOs3L6LBcAZi6dzZ2NNKl608mRXCVFF80RPExryGn8TbCQ0/tRJUBMlKI6Ij1NYRA3rPz4sbV
PV7fVyoZWE6YKCG9zC4+kZp2LNgQ61KRml0jtMznACGPzzhOcgH/pg2oMOXBLFmjEJXMvUNV4M8X
/YK+Wr23hjWSDmhU7HTbEOMfCSJ+Tmeg69FB3bnYBGnGpQ6KW3oPufIuxk7o3N3oagoAraH1ZlgO
qZvS5EgfNc6ebM45CrydirhYHjq5vWuZ3MgMqLcdnrpxGgeWINpTavEezKZGvZEh39Z5i7BFWoHE
dR4vX2H88WwQoCQeIeXMBHiJVbMGshpdhj1MNPel8YrD7IM4EsG0RPjv/fZreQ6QhLeNkNjztU8U
T8vQ4qr1TvNPknoxmmQYT+UjBqL8jRLmi8Xg7kIG9F3Cxh7cJ6wZ0r2eGVfppzigwIGx5e8iqk4D
Z4nMO22U8SUaokSuepreVUFR0+Jsp7Nzpyosd2NOE05oP36VtiemEjgpsVaJ8rmwdvi8RIphvVwq
bK/iVi5e4PjdCt4UYBpz8whEFQyq8i/raEzrZ2GCulIF1GVWfLGAlpeSDkZl+7LilQrjdfIu8+2K
5UY6cumMxbtUnedijaQLXgj6+NTWMxRT84Mk2DqcMxErU/Jc0R3orinOVHrmQb+5QHVtfV9yTape
Vlktzbfe1z+nu76mvCQYjJXVZ8FVaSlQW79W+JcTj3hnfCYZDZfRiyW3xum6qdR1Bcv51sBsw7bq
+xOTJz8kbRL+Qcj15ZW3U4oYIuOINPj/cXWfTw8lRge2DdBe+Hcpl7AaY0lpSje5m2Z/p77Zmxlv
87jzwYKwe+7Ou4IMpd8WnomxS8Xgb8qKgxY3LYB9jddNNdyQHVZ4ZChxgNDibzTsTvoftTY8250U
2xYXbNiY25Zh8Acvq4EyLmbiQt97dlqPrarH5sYjeV2tVsW+kBAqXCzLbfmgRWa2u+U5GM8f63XK
Dm0bfpmmBVPwpjDhCMFhyhPkieccij94I64FdUnS0MB4PXnruuZd1BhcFpMD16Vh7XXeZT2BOsvy
6FjmQ0t6VCxJhIVCJUjemni6mU4M5kIbh7QoPDRjgyS82p5pteg7MJWD0py57xFk3HBg7+bxQVmR
Qd8cDZ8wIWXPdtfhmZLTaT+GscUt2rHdOoeGP1XRjPsNFvzeAOk4mW/icn6gJTnmlvXQkHnacl8X
Y37rVOG3buCnndyPHuFYY72z7fmjFRa3sXt6sjOcBnncD6utu3ZU6t6D11HmmwFceNRDa/sSRd1b
4Z/sDUzebetW92nXwTvqywLBXLtNuuQzWbf4Bloh8kTrc9sFJAJRiF9hzUuUs2NtLcK/NxRtjGDM
7t+8gIZT6uE79V/Vz/8rHT9/ST+3fxaj//OFv9fPwKym50H2xDDL8+1/grSR+Q8soEKHX1xIpX8E
ad1/mF5kUtrCiYUU6/2JjAqBlcf4Oi7v+S8V0JAz/2MBDQsDWAzbb45PyTl/VE4DG6Q5/Xd2Ix3m
T085bbmn8eZsYXsUfz4nNL4oHcUhwFwPJCm5OEIb7MJSaeLn7DsZlVF84V2oEJWhFTSdmyZt71UU
q+bGhzZEXCzHOSkyg/55WpYLPUQGwGVpfyjPy358EYFEHBXhjMJI9b7oJ29LOvyLT5fJ6IztkLy1
m5ILnrcXa0rFhX7m7AIxu0HLriCk7FQ/5+wVguIum7+MHNhLBDEKEwzYY4r5hVkIicI/DlTVdAZs
ewJKkHeOqBindETABYkfH2MZZTf1tjaMnZcH0Mm8u95EqMiv9DkvByNYjtVW9LOcfTIBaI21b7J/
piRYsJvqaSKD6Kf6hCm479l7I/bgnvoyZU9WISOzIr2rJsHL7BxVflvTO6vtCKRCUEqxkY435Jht
VZ8jLNnX/IxKqLAYMbvsdRp5zcW7gniyn79W3d6x24hRE0BjM0qgZtw1+R5UTIf1djWdnToY+VN7
JIYUXnItJFdfhkia6jLG4nAmK0uvwtXqoJ+RZpegmWq31HbpsfVzAkoMACJnRiasNmeo2rjeihsl
Tb4JB8Ihx35jy7HSL7YxBpYTRpYkDiCllLdlJ5fLDLtLP0X2mow4YE6ywgSipOgjIHQMv+aKfkzG
03njPSzt+pqAOF5ZHjGek/ndzGKiD7PTxqvzmI0+9R6rxXoY8/Ohj9aXETAnb6YPRtX8cl7wY8q9
l2Wee4REGFhlpf317Fl7oz0513F/OmRe/y3M4uMy9sNuLBfEXq57PXtVhkmLv5lGq4GYhB0XY8MX
e3Ix17KMTXbyyFGrfo3CyQMDz2ZtzduCgT9334e5lNhtwC0obsOXHhbdgh5jM+wKl+jlxHA+uWX5
pTdfATn2sT1/tfCPuQohspAR4jOOsN4Fq/eUptUrotmbyUZZHGZQydNyQL1nVfvZfZ/UywneMwih
VfWEIfTsNblB3kvWk9/WO9sVfWd7Ot8Xif0tKt4QZjaEqLU+KBHAD+iRG24jlzfEFweaJea5SdUQ
kGjn08YYyofK794gDdFHwJug8f0wPrZj9ktgoN92yvDdecl/dQkanEEio/KBq/YRECE7pJ88v38w
wulxrIKHqW3CA/ZI7/sQoPvcwErA5XmAurivYw4+ib8H8emlNwmIalH8lZ593oyL5x4S+/zapgH4
NZzg1DHeVYn7ZkNgi73xxcnPlW7UebM4CdkpaewRovKrTyBVE+K7RVweC8KVGQ+QrG3KW6Sz7KEo
bU033BlNdL/OzX7ybGJJnesCi9wSv7fUNOG7dLvZKt+jxD32RrSzsujBN+I7Rm0vZZbR58z705kr
0/kcONXx1AT37eA/jqm3nZvozq6cX2GbPweYFA+8HD3oY3vyHwvT/RidiLeNP9VD8eSfT+OhTwoA
OqfBUy3oSPAqG6g/lJdXNPnWgxtQ8ZakTBv1g5c8CG5In8zsfNsgTK/gpkqDfuLsTma6FXuUtJl9
F0gGBlfbZK1sdlXyMdoMqF9FuVPnjTvdTmkfmlsJB3G6jDsYw0KaGD87QHigK4mx56ESV81I7VhS
QzLt3v40/swh3lBpAs3v7A8aN7tUoeobkBFxhSd38gDS4wlVq5H7dxZVLBSu7Xp60Ihf5HJPLS01
75hiHFhC0MU8n4q4ozIeiIKhTo6pl33q5v8nsD8gt/8C+8PT8y37QnzH36F/vPRn9RL+w6UMwTAH
r08QPrle/IT/MNmJMMrByMH2frP7/B3+C4jhI1UDyxnXxLvzj/Cfnk1Ng+ml44Ac/kvw30Ur82f4
jzLIMQP+B4WTf/y5eqnDogM0XiOa0vxpbuaHc7cA/68vJ7w2o6j5kDB86QgsWNZjhWfX3D60QfFY
DzR3dXzMjPxbVnHZxcNzECaP9vroTPPrajTPcTs/+IBS4wT/tn7sY8yEs+41ts1DVZ2u9e/IzO+x
QYYBu+71b2fCuoEG0y7tW/uq6ttDPHvHatbo2NzbaXafDhCbSRAN5gXnP6JIY/fgmw61y/zsnx3u
IZD35mtR7DE4wi/UvilOw23UG7/OSIaz06dyqQi9G7mP8S73QD1P8bfMWHcmYXlTXj+Psf2+8wPs
tBGrBMcCR7exnckMHd/XLrs3nJUwXckDSJ+zBN5Pc20hFrHOrAZpcHTj9F4Hrz8epesDSUWP59Ei
j6neeD2ytpBcHU7wec1fI9zRiiV9dbB4yBxOMkZcwDA9WSm9M+5PRv/NxuYYwPmqI8ANPeqDHtfB
9mPBZnybArA4DTTqaCTysEi7Bink/L1w5xqclekuimmDqNeUPODYfVfV9n3RNPdDsh4yhlA6UDrC
l6rHZyUDMkSPEozXJyM+Vr596/jL1rHxKycbtV2Xm3V4m6BI0nru3Hq8Anm50vF4J0qA4XxIhmJ7
+jgnp/2p+WQR47tYAD3Bh4ko3RiL5lLs2+7at71Hb5Cdsrd3w2w7hPPN0CUwyymHCA7sxvY+PuWM
nIsbw/ORMZuHc2B8YXi3PWP6tnbW3g/S+zo197qk6pHCL8mfooyxUEnERmLuR9JBWNXP83iXjMMz
sVpgdvbLktTPyjjcdRZpcMbpWieg7JL7IDgdcnve99NyUxrO45ryJROH2pT3Edu0FJqBk+MBYl8l
0MDPXLE6KXG8HKiPrxRFPGHHY8U57n/jHpTb7LyjwVq9YnGhbyGzTCTODDFRmRlARYQHJyspbozs
UnpYNyBvrRpfhzS/c7E7HfC/H1xUAlP9sLrW++nU73scLSP3MLR3Ju71Vq3YEqQVMTibjWHuHD66
c/aLPY5s/HgSxsaH5GQd+tiHlncIzf7QuR61cbCbIyLaYIiRbcF0TqSmbNz7TfhUEUad4T7H4HGH
N+lt5+cYmU4Pbm6/xvlTaBEPUWFzsX7tUAl5GaU2qJQbYGqNOYNbNewwCQO14l1iEEHp5iu2r8ij
Nh62rbenktkS3ggY18+vs3KiDAKjIoKjjLZ/cFoEOhz4J5fRlcGvN73Spnxip1zlT1UEUSGD+Fop
mYr8xPyxzzh19mOVc1FNSrFyT8FX8jtgso/fnfj8oT9PyFHH/MWWa2vmkYU1KRVrUj5WT1CWT2CW
UZIjEqIh3ZiliatMimkwtc27tM+JYlvvCoK30DjcyFtFCKh47gKv5d1oUPsLsGHXBG2ALArUr1mu
eAAaoiI/25dvbW1xFq8NQDpxHYTyGAY0/aY+DrQfglaXmaGDucHR9Lob4akQMCbI/UTgmFj0Aspj
96khjmzy4IGFu5NLi0FYmWMbED/Gbfpgcf8aGAqvOO7Jr1Fzb2DEW4rdi0L9fH41Q0wDaPFWSscg
CB6sBmE6U5wIh8CBk7gGLwKQrDy98gdIkNHWgkl/ARVBmiawb428M8bZKPxKsEdBeM2TCfykT6wB
OGrNQwwyJ+9Hb6TJRCdU598CfH9EqNR/OidAW6b/BW2hovKmDPkzhrqLCxEfN0km/wpUdjuyJzmn
Gpvr7+gwhCAmORp0WkMRVjXsFnqZmV8meB3/5LDSDoqJ6hfdTQQ1Q4PrEdOqEQsQZdyJaCBSqY6k
5BysHGwCr4RMeplU6owJHpX7+gQL5WcyT5J9iGvUB6B3copVN4kR2K3cYsMzZD5Q4cX6PsMNkY9S
wNdrjh4TXn9vwYhZYca0Cowb3gHQ4525gnB6/7TXJKLqIJz2toJpU8K4kWZdDOMMJg7+fPsEZo6I
CirxpJNuoLDC31EFaEBCpFGBnfuZPK7rFbaPPoPzG+xrwQY64f8JSi3nAqtvj1CmAT+ZwPB1eeV8
i2PZRg9bhzLTfrw1+aJPgLEiL6TYo4zMABli4PW904Ulq8/MBw/mzAn71WMFnKSonLFsejACXLKv
dXnJiz9xzWOPPvtCjOaYMGPdRDTzbsjXwLe3wqa6kBqYB4jrCG55M+9XJkE9DCwRv0HrdnP2WMHP
Egdc/+s1S4C/JRtOWPczrC6Zu+rhFLaXuJOXswdhIkyeHPjYK1kDOs4eQBkXnVvh1rr6hcBiGo6D
722DM81K7JegdC45iHS4+AO5OzzD7W4m+Gnhkr41mB4l1XtzwfFitUg6mZlQDaK2QRkjxQS2W0To
U5C0z0YPN6MhWns3ytMoIzQo8b5PTY7L9ei8zU3+aiXQ+h+cctmuDN050j3CrOlIsUAiFXP5wOLm
bjB7kFJlKu79CnJXAxU2MLZVMzH2QSPkvZ2c4gF9zFD6xxGxRRN4t22Z3fmTjywUVdASMqgbW/qx
4hVXgXbjmWRpOrVNJxoRkmW85Kz0f6iI/4Y3+De0QUpULONxkHQcL3L+oi2mVuujrifct6PlnO2r
yS83EXmiTYt0gCIuJqe9J6K2o0TIWe0dPts4+bv5w//BBuSPod7/8/XfMh78v0Rh75v+8/nPEOxv
HAZe9rOLCf4B81PgJsuYSYX3J0MAW00MZUnI/3t/ITGEtDERXFnS9zAG/WMXwzPxGPgduf0X/EAx
EaBL+XMXY8Pshb/AZYaK/a8EVXeBgzeTfribW4yWcbbGw0SrdBw1aH78XVyHOxCWXnQobcKnFyOi
DHNBL5nNC++zVtg0eJnp11rAMeHcE3UgdFBv0DH4o2y8nZFkV/ABM0jxS/BWow1tI83T4UqhGZWk
ZEZD2tKEd0S8INU7wWczcmMbPpvNE4ImNheeS9lgg3YKPpxx1pB9FAWCHPDESBDAYCCYEQjopNdz
Nu4UvFZ46ON4Spp/9kw+JOix9Kyxn7OVorZjOfZrDCwH4ksEKyvKT/pfAbwzKhCZ7AXGvX6IWDCi
2Empk51lvI2ajTRxP4keeuV6xrEsuuCXApGFY650DQUzQWxwLlj2POC9lHYbic1naJnA4MTagMai
r5SAcHHAg927GgdrHY/gUCUVDmV366bIWxEi29Od5ZZbN8ZzQAGJeszrzb2VE1zrbM+YejcY6UdR
CkTbHS/6SXQkmkSLwdkvBOg0HwUB6xRI02ezlWXQR4SCV+TMkW53JQxYXFGpkCOf3ftkH92o+iiO
qP6dWynsPUaBRUdXNX4SnMwFz05BDUuRnuNcrb8Rwwaeh23qIwBlyxUMrmDGlAVZelJB4pgtugmC
Trh5pQmxH5m0UHLQpYv0lDzK62Ak/bg2cyBB531GNUp8YHWw3PhlWaMvFfnrU1tgeZZFV3UQE7wA
zyaGQmuf+22XlraCvJsDEcqJlc73QfwLcQTPqCvSd2QOrPdDC/XNn5P2zqq6/ipauKKGJKGtiGBe
xlF2O5276lhPzgF/Mxfn7iy9773s2q5iIl7qsriqpuW1bqG5tuZHMhCafRgWeNpM1dc5mzHjHprw
OM7DdZpEyfsZXLYfpV5xgwR4b9oUSB5LpI9nUKwIKWSIJFJqGvPC+r5hczv6RJVbc4md3C9ZLwf1
96jWrzXaLRBbhmgukV6q0iuRYq5IMiWo6CMCOjnnihLSZh7wdefFvDfoyDX1vnAy2b4bzfgZmapK
VaEZeynbsHEdkN3UpWd8RJdb1Schowu9j2b0Z+VmsYWq8lL9oDpKLg4+V5uELMbXGnlqt9AmIrdR
ESJcDSlQiZg1QtSaIW61KFUyfhVHTAz4KbmZxCIKIfIRx+b3SvaVgbgeKeGfqKjLkbjIAglSjonM
Vkew2rQHlGgah0MX2VdeQM1H+mOPnOxcH8jf2yydWI+UdtBJjPVKRAe1I33KBB0ilOnj0+YviHbq
e392rimJPUbIHYQoFd4lQl91KXqahF3O6SVl4Dzw0KXgRqwjCY1KYs31L9ouBModNEmVc5h03bK9
X0RTYhdIvWMgUVFxmoEXQ4dC1VldTpLAx6D9BNx5PXJiEuTSOnc/Q6kv1AEGNFlCW0AfMDAOgo4B
cek4IMK2EGNL6aQImRWRNrTVa50x8XdLbjoZ4at21pEqAU5jHyTfOCoSQMrXwQkX8qm/LHt2D6m4
iWS8Rjqu8o57+RphQY6ElcOi5ZgAVHTh6IIqEiBZ6MOQWC8MNi3qNYqnklzUYNgpJFPgr6KdBexK
Y6Sqv4dQMgw4iVU3RhtdxyMKPNqhBsW8DRtX5K9qSm6LjSI/NVJSi3CZS0ljj9Y+RnMvI6pLM4IW
X9xkB8mQpEI/24PbMWf4x1cA7/pWX4kowWqziLPemUjizsxx8ACo8QIAIoD5kG5D+kdOo87+inNA
iIOAlxOwjYDQTLsj0BQRXbgROAjRW/hqL5Iw6Sv9/wXZjyTn17X99j/+++evkLGwHTr12ZfT37BD
KV/+c2gZ3dL7Omv+zqGd1/1ekWEPZGG3TmmN41IIrfN3XNlElxT6VEO0hgDOv6PKFGJUSAJ7fQfs
+Y/1GLSfAFIpWVIufojRv4QqX1yD/lKPXQzTI4aRIfqlv4RDW41v9mtMeTUaC6oMZ/x2goMBaoUB
WlMTYhS72caI6chtnDWz3n/rLCTBRL7K91K+R0A2TmIzbVpAyeqnbl2QHJ8HXF5HolfC6N6Ii82a
VaerrMhS7C99RhgJ3p9rMmFJZF/X8X1UvUzj8opKWQjzLlpT86qK/fdZ03zlG3juzlUG2YQ8ufGU
/1p32XdrCO9J0Rw25jh+mw33eV26jzTXyBJPWHb40Qhj3LausyJ4DfoaK+Doua5MAmEDBo9thncQ
y8tp5j8GNMOTjorC2t8MFtbQ7jn+WoTOa9Z/Z564yf03+8n3pqexDt8RYP9hyqzPLvmOuMmCvJzB
fAvzHmOUvTvMOCphqVTTTJ9dfL6tkP3ohAFgk12PJ96sPccw93GGmKv1mmCuTVeEWDcFDNnWhG2t
G4IPtTXOm43pP5FiW2M4SsV1ds9XQ8Sg1oaPNp26J8bT4CD5tg7tg2sRe52UWN7g2WmE7TMNwOdu
cj4Pbf9SzafvZTx+juruMPbeds0wuKmGaLiy1vpD6TcUcNMpvHIbpV5+WRvyM8tgNNgZ5s9GhVmC
b3f+xpxZ7HumBhWWSCd7/Zav4ef5tNwNMU9pmtTG4b9+CwxT9LK7dpmuxug6nK5Pbv/atckHf8ZK
lwARXMCr/JORud8vj3RR9sVofqFlxhXCMT92PoV7Mr1wadyuXdyA6LvQBAZsd8fyYZ0w3DqlD94Y
ODsj71Es5N3B7ZWsZ/nrZsZoE4rdxyqq0BxEMAfrhyXAzDMdrZ3XJ+ZmKIJtxy0H1T7+usbYAQ01
JCkzfgqaL3DAiQyo3NfwPH6kKDvYZXXa5Pn8vi/m8KrPf+lCDH+rAUWRE82/BrhezmNabOYw5aup
4uu2ZLNfo+UlKWfzaocvWP8QGvjIYkp/AEyyOtgBljMfHMNeDkVcHmos7UlfacglbTPAxQ6/z7Xo
q4cVc14k+e5Tfz7aWR9TfTK4zYzkZXYZsHts8HHDzGQ1J+bp/5u5c1tOG1vC8Kuk9j0undCSLnaq
BgcPGTs+xPa24xuK2IwOIAl0RHqbeYSpeYS82HwtwGPwKbWZC67iCkJaalpLf3f//ffs+xTWLAM3
aNCvAsq4SULXgoJaGIbquAzrT5FrDXtNF6EwBtmg5pqRQLQ8RZqWriW961H6nP2uhVJmTryURm3r
W9mla8NzdUCeHvcjesg/hdMUNeWyJM+ZmZdaDYdj5jKRMmzC/rTRz7va4jyv/RQ9YltnSgyks9Sx
D328iYSbR3eHc9EFOfQjH1l0u7qh9nazyFE+WGiTi3D2EHaCxZnf6bvxwND8B5o+40+J1VAxCr8t
fGfYMwtoLwDyXJC5DUTXgeoCLAqgu/wbAeUnQHppVIf+eERGQ5CPYBBPAgAX3Ac4lVycR4AQEyjw
6hUeZUnDjrTnKMIJ6bgRbijTve4i5J46nozA9mCia8eSsmTE9a38vSBFKQk7SVUKzTQq8Hwa7gWM
CRuyoBlS8O96XJCT3M4JhtquJYIjga2CyRKCJofgKSaIqmVCEkGVFh7pHSpuDBfq0tAXB3G35yM6
HUXtwCEmP0GNRohKZ7MRlE3KTPlOPy1PZBJNy9AEcy2ApoXqDirCTpkeZBWMU3B8dhIwEmQnjd6h
ubYcFSPZNtFUoGvxqM5J+phHkpYV9rTgd1pmGi9HOSUeFEGFdsW0VV8w9S+SVfaK5ZQhmTUj35T1
TIguc2loEhgvJigaCtu0h8ucHLecHenanWSlRQDB75QIImWorKIAQdP4ZNjyJyUwkENEFlUrIQS7
1wKhC+KHSUxvl1AuoWhq7plzljIkz3dLRAdoTAfsuSR/kcIN7fpXH6K/0DKRyaWtbNS2R7EOKGOD
Rpt+EUAmPxMD3wbWiQxxEocQBxC5Afk7R8CqNr6W1zWSVgv+U/rU1v1q8nfLxOVKFZGi9OZpUA50
FyQL0C99hHiJuKZCHI2NvgeGjmm3EKuK90ioRdQVIMQlIgrQmGENoJiOUJe4dPvz4pTiVBruLRl6
cVRxdQ/BrznCX8JQliDO98x+gKaBkSHOhTg68ZhQiaVHXVLvAXTPDgJjOJU8AUq/FUfoNCajYwmw
Wb+k/QPyDd63FFGJqXllmlfe8Np3EPCaFvQlgfX96FhovrbwqOH281Y7TPVbiR1r5NCGFk2a5KOZ
b9zGb+2yT8pJ/dmhRU7S0aWPcBAPomSUxXaJFw2yS/neGtKLGkUINw3KbDv0yiohY+BRsQPDJm8O
bRFQmasTDXE9mYtkIrYnd2Ix4IyXCgrz3RNJEQ9zorObEqE+4fnSu4bcx5JHXDikXmo1KBH4s2VC
RX3vIvsnbZ5wFX/N6DxAY/w3oR6LxpE0PYg2lmJNdnRuxMUlcRjZmPM0dS+7yr2YIk0YGgUa9iZF
peqrZzafGajYI7a4LLvzwbD0SPIyMD6truUUnUa/MPWBfJVB95dqTkZ9ZuVfZtXsdhH6nlCYC0YX
uCdqkc8HncSC5QJsKMv6S+5W152wyHq5hmp6PFO/dYZOShqjuCsCVC7iGvUONTlNnTg4tBfVYePV
90/g7gt5Y0Pywpvo0YSLACsCHQbTQklri5MwnDdxRHM5u9Q07BEKteMUi/o4sUBRvIspEzfCSbKY
dBBp/q03P1dl89UIqN7VTIVz3eZUKptl925o+5ed6e8zrzizp/nVJAuuA1Jg+fDcp2uipyoL1oM/
rowMeZbZ4dt3IrNRnt0IeqmuoRvKJGG0eSOLWTAvZwY0QR3is3AFFnOnX0KyCCf1Msf9qpDnC31c
GA21AmQMVBf5VsD9UxpqEQVG5UWkJydDdxRE/Tz1x4vCR5QZQNdYxlU1nJ+iaz9O/Plp46YXb9+q
IX1i2/fKiFkS/Whs2jBeNq/vThrciC4BlDedcVY192run/kz+ybM6Iosvc9xRvq/U6LbZDI9c17l
Z3lE0S+ZXGnlVeVZjJOD5AaO4Cf2IVpTWzmtGvvBSBkjYWf/qym99WzfUO9MVGmDke2VK1CDq9PH
2lXa1sr9pNES2OS8K+ezcdANT2pHIV3Yq2vnxqoK1UN7E4pk7V1NJprA6ezC8ge6qgoClvlhZSQA
arRuao/ppCWJG0GLrpWofscthRtow0gYHiP0f2GXnDdJFw8JnJBOeM0sLfiKBXmwqkA2MfevYcGl
8POaeS/I9HExi+7KbODF6ioI/RGklWWN5t/R/diH0sjqTkTdg4HXQV5fFOO0/jrOmMSerWsG8ul5
EsT5VfL/HfT2iT48je3vkyLOZQXeVowu4842ovp2Re1y3zrBdMRdFQ9kDXTzQJmIKzN5mXKJa+ps
J9Mk9lYfdxwIY+hesyuizEy0LjE/F3xiodds8PbtLY359jEbd/BeegOG/M8YYus0G4bgSUTZmbnW
bfMrJ9wwhHsA+U1zlOby3EIq4AWxX4aQTgDHWS5ruYU/uuhzh3jdDhb9DYaOCAw1CYpvONiWGWjc
NWwsAfjQXHOZVto/f+BVsbM/wHikQ5kSXleokluGcA4UtAQZSu5S/NtPfzDoONndDqTSLBdhGQNY
RIPNMzsYTIEnglZC6GzJpnv3XNAnAzTZ1R8UKXpDB/HQu247ONjWg8H0yWWv/X7d/6qyzsa+qwFI
7NIVpbqU0JHi58nfMICwjpWBtJAGhCYNvHwC92hnYINcSnHtagcLorQAbH7uLh1fz+zg2tKIJhQF
cYnlE7hHdlg5xPJNvsObwjzgfQnVQoG9ZZPcdgj3wHbQeMDmj1zz/XoycIgX+gVfgVCvvzFNBte6
lqYrDWENmU+x5RAuMypsph1QMzEAWfuJHGjT332DUOwLjmEBFUEP2nM7UDuylG3DmDF5ZSx3pJ96
MH7ioEdgzmy56UMLyYNx9hJyf+2ANRp9/vkKiX5++O9/QNwbx0nxbXnpfwD7xw1facHykw/X4Lm9
zOrrq/t7fuWNa61vav2fg2CcjtJ7v24/qFerPB1FAPvLUZyPPvwSj56WAh8h4j/LeVY4fNwc3zn7
h8vRtBw9JOn2BVpP+jcu8NbQmDYse7Hw+VPrf0uncfdTnwTfx2k+etiyzBKF7GqZdQfzjz82qrWP
e9mu539PYWhH8xz6I4KucTyKveSpfVYvJVD2rjdwWLTjxrfsszo/Ud3O5x99H/34c5StzyS7wurs
QJ5dz85z+06T144/wDVZjCJ/2TrsyLuuv6V2vnx24XbuuPglT+HHXxuuvzI+8OPt07+0yT6mMp5v
vesUxUtf23ytyBH30/Eo/fg3AAAA//8=</cx:binary>
              </cx:geoCache>
            </cx:geography>
          </cx:layoutPr>
        </cx:series>
      </cx:plotAreaRegion>
    </cx:plotArea>
    <cx:legend pos="r" align="min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 sz="1050" b="1"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defRPr>
          </a:pPr>
          <a:endParaRPr lang="es-ES" sz="1050" b="1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Arial" panose="020B0604020202020204" pitchFamily="34" charset="0"/>
            <a:cs typeface="Arial" panose="020B0604020202020204" pitchFamily="34" charset="0"/>
          </a:endParaRPr>
        </a:p>
      </cx:txPr>
    </cx:legend>
  </cx:chart>
  <cx:spPr>
    <a:noFill/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_xlchart.v1.2</cx:f>
      </cx:numDim>
    </cx:data>
  </cx:chartData>
  <cx:chart>
    <cx:plotArea>
      <cx:plotAreaRegion>
        <cx:series layoutId="waterfall" uniqueId="{7D5BF646-2043-4632-9C91-C5DCB4818B80}">
          <cx:tx>
            <cx:txData>
              <cx:f>_xlchart.v1.1</cx:f>
              <cx:v>Suicidios</cx:v>
            </cx:txData>
          </cx:tx>
          <cx:dataLabels pos="outEnd">
            <cx:txPr>
              <a:bodyPr vertOverflow="overflow" horzOverflow="overflow" wrap="square" lIns="0" tIns="0" rIns="0" bIns="0"/>
              <a:lstStyle/>
              <a:p>
                <a:pPr algn="ctr" rtl="0">
                  <a:defRPr sz="1000" b="0" i="0">
                    <a:solidFill>
                      <a:srgbClr val="595959"/>
                    </a:solidFill>
                    <a:latin typeface="Arial" panose="020B0604020202020204" pitchFamily="34" charset="0"/>
                    <a:ea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 sz="10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x:txPr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sz="1000" b="0" i="0">
                <a:solidFill>
                  <a:srgbClr val="595959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s-ES" sz="1000"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  <cx:axis id="1" hidden="1">
        <cx:valScaling/>
        <cx:tickLabels/>
        <cx:spPr>
          <a:ln>
            <a:noFill/>
          </a:ln>
        </cx:spPr>
        <cx:txPr>
          <a:bodyPr vertOverflow="overflow" horzOverflow="overflow" wrap="square" lIns="0" tIns="0" rIns="0" bIns="0"/>
          <a:lstStyle/>
          <a:p>
            <a:pPr algn="ctr" rtl="0">
              <a:defRPr sz="1000" b="0" i="0">
                <a:solidFill>
                  <a:srgbClr val="595959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s-ES" sz="1000"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</cx:plotArea>
  </cx:chart>
  <cx:spPr>
    <a:noFill/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5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0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247650</xdr:colOff>
      <xdr:row>18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304800</xdr:colOff>
      <xdr:row>16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304800</xdr:colOff>
      <xdr:row>16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</xdr:row>
      <xdr:rowOff>28575</xdr:rowOff>
    </xdr:from>
    <xdr:to>
      <xdr:col>7</xdr:col>
      <xdr:colOff>438150</xdr:colOff>
      <xdr:row>16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142875</xdr:rowOff>
    </xdr:from>
    <xdr:to>
      <xdr:col>7</xdr:col>
      <xdr:colOff>371475</xdr:colOff>
      <xdr:row>16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10</xdr:col>
      <xdr:colOff>514350</xdr:colOff>
      <xdr:row>19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51671B-7110-B46E-8C96-3CA8C5A7B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28625"/>
          <a:ext cx="6610350" cy="326707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10</xdr:col>
      <xdr:colOff>28575</xdr:colOff>
      <xdr:row>16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41ACBD-2352-C363-4E59-4DF3E35865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28625"/>
          <a:ext cx="6124575" cy="2781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457200</xdr:colOff>
      <xdr:row>23</xdr:row>
      <xdr:rowOff>4763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11</xdr:col>
      <xdr:colOff>361951</xdr:colOff>
      <xdr:row>23</xdr:row>
      <xdr:rowOff>23814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561976</xdr:colOff>
      <xdr:row>24</xdr:row>
      <xdr:rowOff>23814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11</xdr:col>
      <xdr:colOff>365125</xdr:colOff>
      <xdr:row>23</xdr:row>
      <xdr:rowOff>144463</xdr:rowOff>
    </xdr:to>
    <mc:AlternateContent xmlns:mc="http://schemas.openxmlformats.org/markup-compatibility/2006">
      <mc:Choice xmlns="" xmlns:cx4="http://schemas.microsoft.com/office/drawing/2016/5/10/chartex" Requires="cx4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2BFC62A9-FFCC-4165-9CDE-1B8A946E961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2" name="Rectángulo 1">
              <a:extLst>
                <a:ext uri="{FF2B5EF4-FFF2-40B4-BE49-F238E27FC236}">
                  <a16:creationId xmlns:a16="http://schemas.microsoft.com/office/drawing/2014/main" id="{00000000-0008-0000-0A00-000002000000}"/>
                </a:ext>
              </a:extLst>
            </xdr:cNvPr>
            <xdr:cNvSpPr>
              <a:spLocks noTextEdit="1"/>
            </xdr:cNvSpPr>
          </xdr:nvSpPr>
          <xdr:spPr>
            <a:xfrm>
              <a:off x="0" y="234950"/>
              <a:ext cx="7419975" cy="41957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SV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257175</xdr:colOff>
      <xdr:row>19</xdr:row>
      <xdr:rowOff>14288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DA18F81A-E3A1-4AE7-ACE6-0E31B36BF0C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9525</xdr:rowOff>
    </xdr:from>
    <xdr:to>
      <xdr:col>7</xdr:col>
      <xdr:colOff>504825</xdr:colOff>
      <xdr:row>16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6145" name="AutoShape 1" descr="data:image/png;base64,iVBORw0KGgoAAAANSUhEUgAAAeIAAAEiCAYAAAAlAdEXAAAAAXNSR0IArs4c6QAAIABJREFUeF7tnU9oY8m5t2vggk3AKMQmEG/ci6GHGYgYLtpkoIcb0EIEvBhmkQndGGxiOjDQxjtj6CymwcxO2DCLxhcbTA+ZQHrljRc2fecuZmWCcWASN9k4BGNCu7ExTGy40B/v4StRPi1Z56iOSm8dPQdMS6X689bz/ur8VEdHrXcMBwQgAAEIQAACAyPwjoz8j3/8482///3vgQXBwBCAAAQgAIFhJPDmzZv/SYz46Ojozd27d4eRAXOGAAQgAAEIDIzAy5cvDUY8MPwMDAEIQAACw04AIx52BTB/CEAAAhAYKAGMeKD4GRwCEIAABIadAEY87Apg/hCAAAQgMFACGPFA8TM4BCAAAQgMOwGMeNgVwPwhAAEIQGCgBDDigeJncAhAAAIQGHYCPRnx8fGxWVlZMZ988olpNBrGPr+8vEx41ut1Mzc3lzze2Ngwu7u7yeOZmZmkvhw7Oztma2vrrfqdyoc9UcwfAhCAAATKSSC3EV9fX5v19fWExrvvvtsy4u3tbTM/P29GRkZapA4PDxPDXVhYMFdXV6bZbJrZ2dnk9c3NTbO4uGhGR0fN6upq0k+lUmlbXq1Wy0mfWUEAAhCAwNATyG3EYqzuYXfE7YxYdsO1Ws1YI7XPT05Oki7c3XG6T7trdusNfbYAAAEIQAACpSOQy4gvLi7M8+fPzf37982LFy9aZpq+NL20tJSYbzsjnpycbEF0jVjM2b6WLreXuUtHnwlBAAIQgMDQE8hlxK6x2p2xNU1LUkx5bW3NPHr0yOzt7d3YEbfbTUs7uYS9v7//lhHbcox46HUKAAhAAAKlJZDZiOWzYfks9+Dg4AYM9wYsecF+hjw9Pf2WEXNpurQ6YmIQgAAEINAjgcxGnO7/th2xvRFLdsf2Zq3T09PWjVjn5+etx9Jvu5u43PKpqanM0zs7OzPyxwEBCEAAAhAIRWB8fNzIXy9HIUbsfkVpbGzMLC8vG2ue7mv2s2MJ1P2aUqevNaV3271MkDYQgAAEIAABzQR6NmLNkyI2CEAAAhCAQCwEMOJYMkWcEIAABCBQSgIYcSnTyqQgAAEIQCAWAhhxLJkiTghAAAIQKCUBjLiUaWVSEIAABCAQCwGMOJZMEScEIAABCJSSAEZcyrQyKQhAAAIQiIUARhxLpogTAhCAAARKSQAjLmVamRQEIAABCMRCACOOJVPECQEIQAACpSSAEZcyrUwKAhCAAARiIYARx5Ip4oQABCAAgVISwIhLmVYmBQEIQAACsRDAiGPJFHFCAAIQgEApCWDEpUwrk4IABCAAgVgIYMSxZIo4IQABCECglAR6MuLj42OzsrJiPvnkE9NoNBIwGxsbZnd3N3k8MzPTtXxnZ8dsbW0l9ev1upmbm0sedyovJX0mBQEIQAACQ08gtxFfX1+b9fX1BNy7776bGO7h4WFioAsLC+bq6so0m00zOztrLi4u2pZL283NTbO4uGhGR0fN6upq0k+lUmlbXq1Whz5RAIAABCAAgXISyG3EYrjuIQYqu+FarWasYdrn+/v7bctPTk6SLuxuul2fdnfs1itnCpgVBCAAgbgJvP79fw5sAj/54s8DG7uogXMZsexwnz9/bu7fv29evHjRMtN2Rjw5OWnEcNMGLeX2cI1Y6trX0uX2snVRk6YfCEAAAhAojgBG7McylxG7hmt3se12xPa1tBF32vnKpW3ZPaeN2JZjxH5JpjUEIACBfhLAiP3oZjZi+WxYPss9ODi4MaLcmNVu5ys74UFcmj47OzPyxwEBCEAAAmEITDz7LMxAbUZ59eCbgY3tDjw+Pm7kr5cjsxGnO3d3xO7NWqenp60bruTuansTl1t+fn7eqiP92pu75LG9icstn5qa6mVutIEABDwJsNPxBDgkzdGJX6ILMWIJwf360tLS0o0bt+zXmtxy92tK7tedOpX7TZPWEIBALwQ4wfZCbfjaoBO/nPdsxH7D0hoCEIiBACfYGLI0+BjRiV8OMGI/frSGQKkJcIItdXoLmxw68UOJEfvxozUESk2AE2yp01vY5NCJH0qM2I8frSFQagKcYEud3sImh078UGLEfvxoDYFSE+AEW+r0FjY5dOKHEiP240drCJSaACfYUqe3sMmhEz+UGLEfP1pDoNQEOMGWOr2FTQ6d+KHEiP340RoCpSbACbbU6S1scujEDyVG7MeP1hAoNQFOsKVOb2GTQyd+KDFiP360hkCpCXCCLXV6C5scOvFDiRH78aM1BEpNgBNsqdNb2OTQiR9KjNiPH60hUGoCnGBLnd7CJodO/FBixH78aA2BUhPgBFvq9BY2OXTihxIj9uNHawiUmgAn2FKnt7DJoRM/lBixHz9aQ6DUBDjBljq9hU0OnfihzGXE19fXZnV11RwcHCSj2t8XPj4+NisrK+by8jIpr9frZm5uLnns/k5xp98dduu7v0fslvtNk9YQgEAvBDjB9kJt+NqgE7+c5zLiw8PDZLRqtWrEfLe3t838/Lw5PT1tPR4ZGWlFJPXFWBcWFszV1ZVpNptmdnY2eX1zc9MsLi6a0dHRxNwbjYapVCpty2U8DghAIDwBTrDhmcc4Ijrxy1ouI3aHEpPd399Pdr6uKbtGLLvhWq2WGLfdHcvzk5OT5LmYrxxi1u6RLrfP/aZKawhAIC8BTrB5iQ1nfXTil/dcRuxemp6cnDSPHz9OdrHpS9P2knU7I5Z29nANV8zZvpYut5e5/aZKa5cACwc9ZCGATrJQog468dNALiN2hxLztZeXxYztIeVra2vm0aNHZm9v78aOuNPO1+6u00bs7rr9pknrNAEWDprIQgCdZKFEHXTip4GejVh2x+vr62Z6etpMTU21onDL00Zsd8hcmvZLWhGtWThFUCx/H+ik/DkuYoboxI9iLiP+9ttvzZ07dxLjvW1HbHfKUsferCU3dNny8/Pz1mMJv91NXG65a/Tdpnt2dmbkj+N2AhPPPhsYolcPvhnY2AycjwA6ycdrWGujE2PGx8eTv16OXEZ822fBu7u7yfhjY2NmeXm5tUt2v75kPzuWeu7XlDp9rckt72VytOlMgHewqCMLAXSShRJ10ImfBnIZsd9QtNZEgIWjKRt6Y0EnenOjKTJ04pcNjNiPX7StWTjRpi5o4OgkKO5oB0MnfqnDiP34RduahRNt6oIGjk6C4o52MHTilzqM2I9ftK1ZONGmLmjg6CQo7mgHQyd+qcOI/fhF25qFE23qggaOToLijnYwdOKXOozYj1+0rVk40aYuaODoJCjuaAdDJ36pw4j9+EXbmoUTbeqCBo5OguKOdjB04pc6jNiPX7StWTjRpi5o4OgkKO5oB0MnfqnDiP34RduahRNt6oIGjk6C4o52MHTilzqM2I9ftK1ZONGmLmjg6CQo7mgHQyd+qcOI/fhF25qFE23qggaOToLijnYwdOKXOozYj1+0rVk40aYuaODoJCjuaAdDJ36pw4j9+EXbmoUTbeqCBo5OguKOdjB04pc6jNiPX7StWTjRpi5o4OgkKO5oB0MnfqnDiP34RduahRNt6oIGjk6C4o52MHTilzqM2I9ftK1ZONGmLmjg6CQo7mgHQyd+qctlxNfX12Z1ddUcHBwkoy4tLZlqtZo83tjYMLu7u8njmZkZ02g0bi3f2dkxW1tbSZ16vW7m5uaSx53K/aZJ6zQBFg6ayEIAnWShRB104qeBXEZ8eHiYjCbme3x8bLa3t838/Lw5OjpKDHRhYcFcXV2ZZrNpZmdnzcXFRdty6WNzc9MsLi6a0dHRxNzFuCuVSttya/Z+U6W1S4CFgx6yEEAnWShRB534aSCXEbtDiSnv7+8nO1nZDddqtRu7Y3kur7crPzk5Sbqyu2YxcfdIl9vnflOlNUaMBvIS4ASbl9hw1kcnfnnPZcTupenJyUnz+PHjZBfbzojldTHctBFLuT1cw5W69rV0ub1s7TdVWmPEaCAvAU6weYkNZ3104pf3XEbsDiWXpu3l5efPn98wXLvDTRtxp52v3V2njdjddftNk9ZpAiwcNJGFADrJQok66MRPAz0bseyO19fXzfT0tNnb21Nzafrs7MzIH8ftBCaefTYwRK8efDOwsRk4HwF0ko/XsNZGJ8aMj48nf70cuYz422+/NXfu3DFTU1PJzVp2RyyP7c1ap6enXcvPz89bdSRoe3OXPLZ9uuUyHkexBHgHWyzPsvaGTsqa2WLnhU78eOYyYjHclZUVc3l5mYza6etLWcrdrym5X3fqVO43TVpzaRoN9EKAE2wv1IavDTrxy3kuI/YbitaaCLBwNGVDbyzoRG9uNEWGTvyygRH78Yu2NQsn2tQFDRydBMUd7WDoxC91GLEfv2hbs3CiTV3QwNFJUNzRDoZO/FKHEfvxi7Y1Cyfa1AUNHJ0ExR3tYOjEL3UYsR+/aFuzcKJNXdDA0UlQ3NEOhk78UocR+/GLtjULJ9rUBQ0cnQTFHe1g6MQvdRixH79oW7Nwok1d0MDRSVDc0Q6GTvxShxH78Yu2NQsn2tQFDRydBMUd7WDoxC91GLEfv2hbs3CiTV3QwNFJUNzRDoZO/FKHEfvxi7Y1Cyfa1AUNHJ0ExR3tYOjEL3UYsR+/aFuzcKJNXdDA0UlQ3NEOhk78UocR+/GLtjULJ9rUBQ0cnQTFHe1g6MQvdRixH79oW7Nwok1d0MDRSVDc0Q6GTvxShxH78Yu2NQsn2tQFDRydBMUd7WDoxC91GLEfv2hbs3CiTV3QwNFJUNzRDoZO/FKXy4ivr6/N6uqqOTg4SEa1vzuc/p3ier1u5ubmkjobGxtmd3c3edzpd4fd+u7vEbvlftOkdZoACwdNZCGATrJQog468dNALiM+PDw0JycnptFoGHksprmwsGBOT0/N9va2mZ+fNyMjI62I3DpXV1em2Wya2dnZ5PXNzU2zuLhoRkdHE3OXPiuVStvyarXqN0tav0WAhYMoshBAJ1koUQed+GkglxG7Q8ku2Jrp+fl5WyOW3XCtVjPWSO1zMXM5xHzlEEN3j3S5fe43VVq7BFg46CELAXSShRJ10ImfBno2Ytnt7u/vJ5eg05em7SXrdkY8OTnZitg1XDFn+1q63F7m9psqrTFiNJCXACfYvMSGsz468ct7T0Z8cXFhnj59ah4+fJhcTk7vlNfW1syjR4/M3t7ejR1xp52vNfW0Ebtm7zdNWqcJsHDQRBYC6CQLJeqgEz8N5DZie8OW7FrbfXYrr6+vr5vp6em3jJhL037JKrI1C6dImuXtC52UN7dFzgyd+NHMZcSyE37y5Ely93OnG6jcz47lsXtDl/uZsn0s4be7icstn5qayjzLs7MzI38ctxOYePbZwBC9evDNwMZm4HwE0Ek+XsNaG50YMz4+nvz1cuQyYverRXYw+TxYPiu2X1EaGxszy8vLxpqn+/Ul+9mxtHX76vS1Jre8l8nRpjMB3sGijiwE0EkWStRBJ34ayGXEfkPRWhMBFo6mbOiNBZ3ozY2myNCJXzYwYj9+0bZm4USbuqCBo5OguKMdDJ34pQ4j9uMXbWsWTrSpCxo4OgmKO9rB0Ilf6jBiP37RtmbhRJu6oIGjk6C4ox0MnfilDiP24xdtaxZOtKkLGjg6CYo72sHQiV/qMGI/ftG2ZuFEm7qggaOToLijHQyd+KUOI/bjF21rFk60qQsaODoJijvawdCJX+owYj9+0bZm4USbuqCBo5OguKMdDJ34pQ4j9uMXbWsWTrSpCxo4OgmKO9rB0Ilf6jBiP37RtmbhRJu6oIGjk6C4ox0MnfilDiP24xdtaxZOtKkLGjg6CYo72sHQiV/qMGI/ftG2ZuFEm7qggaOToLijHQyd+KUOI/bjF21rFk60qQsaODoJijvawdCJX+owYj9+0bZm4USbuqCBo5OguKMdDJ34pQ4j9uMXbWsWTrSpCxo4OgmKO9rB0Ilf6jBiP37RtmbhRJu6oIGjk6C4ox0MnfilLpcRX19fm9XVVXNwcJCMurS0ZKrVavJ4Y2PD7O7uJo9nZmZMo9G4tXxnZ8dsbW0lder1upmbm0sedyr3myat0wRYOGgiCwF0koUSddCJnwZyGfHh4aE5OTlJTFYei2kuLCyYo6Oj1uOrqyvTbDbN7Oysubi4aFsuIW9ubprFxUUzOjqamLv0WalU2pZbs/ebKq1dAiwc9JCFADrJQok66MRPA7mM2B3q+Pi4ZZrPnz83tVrtxu5Ynu/v77ctFzOXw+6axdDdI11un/tNldYYMRrIS4ATbF5iw1kfnfjlvWcjlh2xGK1cUpbL0mkjnpycTHbP7cptyK7hSl1pkzZoKbeXrf2mSmuMGA3kJcAJNi+x4ayPTvzy3pMRyyXnp0+fmocPHyaXk9NGbHe4aSPutPO1pp42Ytfs/aZJ6zQBFg6ayEIAnWShRB104qeB3EZsb9iS3ax7o5aWS9NnZ2dG/jhuJzDx7LOBIXr14JuBjc3A+Qigk3y8hrU2OjFmfHw8+evlyGXEshN+8uRJcle0ewOVe+PW6elp67Nj+RzZ3tDllp+fn7fqSND25i55bG/icsunpqZ6mRttbiHAO1jkkYUAOslCiTroxE8DuYzY/WqRHdZ+hcn9+lKnrzW55W5f7tedOpX7TZPWXJpGA70Q4ATbC7Xha4NO/HKey4j9hqK1JgIsHE3Z0BsLOtGbG02RoRO/bGDEfvyibc3CiTZ1QQNHJ0FxRzsYOvFLHUbsxy/a1iycaFMXNHB0EhR3tIOhE7/UYcR+/KJtzcKJNnVBA0cnQXFHOxg68UsdRuzHL9rWLJxoUxc0cHQSFHe0g6ETv9RhxH78om3Nwok2dUEDRydBcUc7GDrxSx1G7Mcv2tYsnGhTFzRwdBIUd7SDoRO/1GHEfvyibc3CiTZ1QQNHJ0FxRzsYOvFLHUbsxy/a1iycaFMXNHB0EhR3tIOhE7/UYcR+/KJtzcKJNnVBA0cnQXFHOxg68UsdRuzHL9rWLJxoUxc0cHQSFHe0g6ETv9RhxH78om3Nwok2dUEDRydBcUc7GDrxSx1G7Mcv2tYsnGhTFzRwdBIUd7SDoRO/1GHEfvyibc3CiTZ1QQNHJ0FxRzsYOvFLHUbsxy/a1iycaFMXNHB0EhR3tIOhE7/UYcR+/KJtzcKJNnVBA0cnQXFHOxg68UtdbiO+vr42q6urZmJiwszNzSWjHx8fm5WVFXN5eZk8r9frrdc2NjbM7u5uUj4zM2MajUbyeGdnx2xtbb1Vv1O53zRpnSbAwkETWQigkyyUqINO/DSQy4jFcNfW1sy9e/fM69evbxjx9va2mZ+fNyMjI62IDg8PE8NdWFgwV1dXptlsmtnZ2eT1zc1Ns7i4aEZHRxNjF4OuVCpty6vVqt8saf0WARYOoshCAJ1koUQddOKngVxGbIcSg93f3+9qxLIbrtVqxhqpfX5ycpJ05e6O3Wmky+1zv6nS2iXAwkEPWQigkyyUqINO/DRQmBG7l6aXlpYS821nxJOTk62IXcMVc7avpcvtJXC/qdIaI0YDeQlwgs1LbDjroxO/vBdixG4I9vL1o0ePzN7e3o0dsVymbrfztTvstBGnd95+U6U1RowG8hLgBJuX2HDWRyd+eS/ciOVmrvX1dTM9Pf2WEYe4NH12dmbkj+N2AhPPPhsYolcPvhnY2AycjwA6ycdrWGujE2PGx8eTv16Owo1YdsT2Rix5bG/WOj09bZWfn5+3HkvQ7W7icsunpqZ6mRttbiHAO1jkkYUAOslCKUydB//9fZiB2ozy7Lcf3Do2OvFLTS4jTn9NSYaWz4Plxi37FaWxsTGzvLxsrHm6X1+ynx1LO/drSp2+1uSW+02T1mkCLBw0kYUAOslCKUwdjLg955988ecwCejjKLmMuI9x0HVgApxgAwOPdDh0oidxGDFGrEeNRFIIAU6whWAsfSfoRE+KMWKMWI8aiaQQApxgC8FY+k7QiZ4UY8QYsR41EkkhBDjBFoKx9J2gEz0pxogxYj1qJJJCCHCCLQRjIZ1wgi3vCbYQgfz/TtBJeXXCzVpFrpSI+sKI9SSLE2x5T7BFqgydlFcnGHGRKyWivjBiPcniBFveE2yRKkMn5dUJRlzkSomoL4xYT7I4wZb3BFukytBJeXWCERe5UiLqCyPWkyxOsOU9wRapMnRSXp1gxEWulIj6woj1JIsTbHlPsEWqDJ2UVycYcZErJaK+MGI9yeIEW94TbJEqQyfl1QlGXORKiagvjFhPsjjBlvcEW6TK0El5dYIRF7lSnL40LxoJEyPuU+J76FazVtBJDwntUxN0ghH3SVrl7VbzosGIdelOs1YwYj1aQScYsR41RhKJ5kWDEesSkWatYMR6tIJOMOIWgevra7O6umomJibM3Nxcq9z93WH3d4Q7lbu/R1yv11t9dSrXsxyyRaJ50WDE2XIYqpZmrWDEoVTQfRx0ghEnBI6Pj83a2pq5d++eef36dcs8Dw8PjRjowsKCubq6Ms1m08zOzpqLi4u25dLX5uamWVxcNKOjo4mxNxoNU6lU2pZXq9XuKlVWQ/OiwYh1iUWzVjBiPVpBJxjxDQJivPv7+y0jll1vrVYz1jDtc6nTrvzk5CTpT8xXDjFx90iX2+d6lkT3SDQvGoy4e/5C1tCsFYw4pBJuHwudYMS5jXhyctKI4aaNWMrt4Rqu1LWvpcvdS+B6lkW8iwYj1qUiTrDlPcEWqTR0Ul6d9PT1pW47YrvDTRtxp52v7S9txOlxihR1v/vSvGgw4n5nP1//mrXCjjhfLvtZG51gxLl3xLITHsSl6bOzMyN/gz6++N//G1gIv//4P7qOPfHss651+lXh1YNv+tV1lP1q1go60SMpdNI+F1rOJ+Pj40b+ejkK2RG7N2udnp62briSm7vsTVxu+fn5eauOBG1v7pLH9iYut3xqaqqXuQ20jeZ3r+yIByqNtwbXrBV2xHq0gk7YEScExFhXVlbM5eVli8jS0lJyk5b7NSVbJpU6lbtfU3K/7tSpXM9yyBaJ5kWDEWfLYahamrWCEYdSQfdx0AlG3F0l1LhBQPOiwYh1iVWzVjBiPVpBJxixHjVGEonmRYMR6xKRZq1gxHq0gk4wYj1qjCQSzYsGI9YlIs1awYj1aAWdYMR61BhJJJoXDUasS0SatYIR69EKOsGI9agxkkg0LxqMWJeINGsFI9ajFXSCEetRYySRaF40GLEuEWnWCkasRyvoBCPWo8ZIItG8aDBiXSLSrBWMWI9W0AlGrEeNkUSiedFgxLpEpFkrGLEeraATjFiPGiOJRPOiwYh1iUizVjBiPVpBJxixHjVGEonmRYMR6xKRZq1gxHq0gk4wYj1qjCQSzYsGI9YlIs1awYj1aAWdYMR61BhJJJoXDUasS0SatYIR69EKOsGI9agxkkg0LxqMWJeINGsFI9ajFXSCEetRYySRaF40GLEuEWnWCkasRyvoBCPWo8ZIItG8aDBiXSLSrBWMWI9W0AlGrEeNkUSiedFgxLpEpFkrGLEeraATjPhWNR4fH5uVlRVzeXmZ1KvX62Zubi55vLGxYXZ3d5PHMzMzptFoJI93dnbM1tbWW/U7letZDtki0bxoMOJsOQxVS7NWMOJQKug+DjrBiLsa8fb2tpmfnzcjIyOtuoeHh4nhLiwsmKurK9NsNs3s7Gzy+ubmpllcXDSjo6NmdXU1MehKpdK2vFqtdlepshqaFw1GrEssmrWCEevRCjrBiHsyYtkN12o1Y43UPj85OUn6c3fH7gDpcvtcz5LoHonmRYMRd89fyBqatYIRh1TC7WOhE4y4qxG7l6aXlpYS821nxJOTk62+XMMVc7avpcvtZW49S6J7JJoXDUbcPX8ha2jWCkYcUgkYcS+0f/LFn3tppqrNy5cvzTsS0dHR0Zu7d+96ByefF6+trZlHjx6Zvb29GztiuUzdbucrl7D39/ffMmJbjhHnS8uz337QtQEn2K6IglXAiMu70ylSROikvDop3Iivr6/N+vq6mZ6efsuIQ1yaPjs7M/I36OOL//2/gYXw+4//o+vYE88+61qnXxVePfimX11H2a9mraATPZJCJ+1zoeV8Mj4+buSvl6NwI5Ydsb0RSx7bm7VOT09b5efn563HEnS7m7jc8qmpqV7mNtA2mt+9Chh2xAOVx43BNWsFnaATIdDtKhs68dNJIUbsfkVpbGzMLC8vG2ue7mv2s2MJ2f2aUqevNbnlftMM31rzyRUjDq+H20bUrBVOsHq0gk64NK1HjZFEonnRYMS6RKRZKxixHq2gE4xYjxojiUTzosGIdYlIs1YwYj1aQScYsR41RhKJ5kWDEesSkWatYMR6tIJOMGI9aowkEs2LBiPWJSLNWsGI9WgFnWDEetQYSSSaFw1GrEtEmrWCEevRCjrBiPWoMZJINC8ajFiXiDRrBSPWoxV0ghHrUWMkkWheNBixLhFp1gpGrEcr6AQj1qPGSCLRvGgwYl0i0qwVjFiPVtAJRqxHjZFEonnRYMS6RKRZKxixHq2gE4xYjxojiUTzosGIdYlIs1YwYj1aQScYsR41RhKJ5kWDEesSkWatYMR6tIJOMGI9aowkEs2LBiPWJSLNWsGI9WgFnWDEetQYSSSaFw1GrEtEmrWCEevRCjrBiPWoMZJINC8ajFiXiDRrBSPWoxV0ghHrUWMkkWheNBixLhFp1gpGrEcr6AQjDqZG93eK6/W6mZubCzZ2kQNpXjQYcZGZ9u9Ls1YwYv/8FtUDOsGIi9LSrf0cHx+bzc1Ns7i4aEZHR83q6qppNBqmWq0GGb/IQTQvGoy4yEz796VZKxixf36L6gGdYMRFaenWfmQ3LIeYrxzp50GCKGgQzYsGIy4oyQV1o1krGHFBSS6gG3SCERcgo+5dtDPik5OTKC9Pa140GHF3LYasoVkrGHFIJdw+FjrBiIOoMW3Eh4eHZn9/HyPOSf/Zbz/o2oITbFdEwSpwgi3vCbZIEaGT8urk5ct/eRjpAAAKGElEQVSX5h2Z3tHR0Zu7d+8WqZvcfXFpOjeytg0w4mI4huqFE2x5T7BFagidlFcnqozYvVlLkDebTTM7O2umpqYy6/ns7MzIHwcEIAABCEAgFIHx8XEjf70cqoxYJuB+fWlmZqZ141Yvk6MNBCAAAQhAQDsBdUasHRjxQQACEIAABIokgBEXSZO+IAABCEAAAjkJYMQ5gVEdAhCAAAQgUCQBjLhImvQFAQhAAAIQyEkAI84JjOoQgAAEIACBIglgxEXSpC8IQAACEIBATgIYcU5gVIcABCAAAQgUSQAjLpImfUEAAhCAAARyEsCIcwLTUl3+H+4vv/wyCefDDz80CwsLZmRkxMj/TraysmIuLy/N5OSkefz4salUKkk9+9rnn39+46cly/Ib0FpyoymO2/SwsbFhdnd3k3Dd/zzn+vo6+QnSiYmJ1v/z7ta181taWoryJ0o15UdTLJ30cNv5Qc5DX331lVleXm79D4juuWlsbOzGa5rmqykWjFhTNjLGIifKr7/+2nz66ac3frf5vffeu/EbzrKA7K9XyWNZID/60Y/Mxx9/3DqBSpm8Zo08YwhUi4TAH/7wB/PRRx8lJ0k50cqbM/mZUTfvV1dXrf9OVqa1trZm7t27Z16/ft32B1cuLi7M06dPzcOHD1tv8iLBQZgdCMgbtu+++8785je/Sd6w29+FPz8/7/gb8aKnH374Ielxeno60Zicm9bX11vPY/7hnpBiwYhD0u7TWPYE+/7775vt7W0zPz/f2h27z2V4qVur1VpGnH7epxDpVgEB941ZNx3cdgLl5KogmX0MQd5o2f/n/69//WsyUqffiE8bbzsjls2Abd/HsKPuGiOOOn3mxjtQmUraiO07W3t52j0B20uQBwcHLQr8/96RC+KW8N3ctzNiu1uWLjqZbfpEW15awzsz2RHb88iLFy/eMmL3N+Lb6cH9OKRer0f5M7ahs48RhyZe8HjuT0e6C0g+L253CTFtxO5lJPeSlDXugsOluwERSBtr2oiz/hZ4WmMDmg7D9olA2li76aKdEYvWtra2ksvT8hEG9xJ0TxZG3J2R2hrpz3fTJ8l2J83bjJjdjtpUewXW7g1Wr5em+SjDKxXqG7v3EUiw3X4jPn3OSGuNN27ZUo4RZ+Okrpa9+cq9ycpeapbPY6rV6o2bc+wEbrskyY1b6tLsHZDdnbh3z9tLz/YmvdPT09YNOfZKSLtL01wx8U6H2g7suUPOG+7nud1+I76bEXNOyZZyjDgbJ1W15JLzkydPkjui7WG/wiQnVfv1JfdrTe5XEKSN/WqTPLZ98VUDVWn2DqbdPQDuV9rcr6vYy4fu53s2APuae7OXd3B0oIqA+5UjG5i9X6TTb8Snv9JmzzfyubJcmpaDc0q2NGPE2ThRCwIQgAAEINAXAhhxX7DSKQQgAAEIQCAbAYw4GydqQQACEIAABPpCACPuC1Y6hQAEIAABCGQjgBFn40QtCEAAAhCAQF8IYMR9wUqnEIAABCAAgWwEMOJsnKgFAQhAAAIQ6AsBjLgvWOkUAhCAAAQgkI0ARpyNE7UgAAEIQAACfSGAEfcFK51CAAIQgAAEshHAiLNxohYEIAABCECgLwQw4r5gpVMIQAACEIBANgIYcTZO1IIABCAAAQj0hQBG3BesdAoBCEAAAhDIRgAjzsaJWhCAAAQgAIG+EMCI+4KVTiEAAQhAAALZCGDE2ThRCwIQgAAEINAXAhhxX7DSKQQgAAEIQCAbAYw4GydqlYTAzs6O2draMktLS6ZarbZmdXFxYZ48eWJ++tOfmoWFBTMyMtKXGW9sbJharWampqaS8WZmZm7E0ZdBc3Qq8e3u7rZapDnl6KqnqtfX12Z1dTVh0mg0euqDRhCIjQBGHFvGiNeLgBjxd999Z+7cuWPm5uZafUn53//+9+T5/Px8343YfRPgNaGCG9s3ClrjK3i6dAcBFQQwYhVpIAhfAg/++/uOXTz77Qc3DPfq6sr885//NNPT08nOVHZh6+vr5uc//7n5y1/+khjx0dGR+fLLL5N2Y2NjZnl5Oal7eHjYKpfdrOza7C5b6tbrdXP//v2kP9v/8fGx2d7eTvr9+uuvkx3xe++916oj7f74xz+aH374wciC/PDDD1u7crtTPzk5uRFHXl6vf/+fHZv85Is/t17rZMTuTtnOW1jI3P/1r38ZiU/mPjk5mVxxkH8fP35sKpWKkfmvrKyYy8vLVvno6GgyfznkjZHL2MZgGbWrY3fOBwcHSR+hd+55+VMfArcRwIjRRykI5DFid8JipGIUYgYfffRRyzDdS9NiOPv7+4nBipF++umnicHIIW03NzfN4uJiq8waex4jFqP6/PPPE4OWS7MSl/tYdqjW+Hq5dJ7HiO2laWuO8mZAjFZicucm5V999VXyJuXHP/5xcqn9gw8+SK40iJmKGf/yl7+8wcxlKfOcmJhI6ouhyxi2rX2zclsd6d/mL52DUoiaSQwNAYx4aFJd7onmNeL333//rV2qmKvduQotMQG745LdnjWJ77//vrXbE2OxJmUJ92LEdlx5AyCmJMcvfvEL8/z58+QNgJSn+82T0TxGLCboXpp2d/x2TNmByiFvUIRLOjZ3DmLQwsgesuP/3e9+l+ycs75ZkasR9sqC7Mj/9Kc/3XhDxCX1PGqgrjYCGLG2jBBPTwTyGrHs1OTS6Mcff5wY38OHD835+XnLiF+8eJHEITsuu4uznynby8VizvZwbywqyojdNwuDNOJOJudy6WTE6Tn0+mbFNeJf//rXyVUIyZm9MoER97RsaKSEAEasJBGE4UcgrxG7n+3azzzdz3JdI3Yvm9oo3cvZ7S6LusYgj1+9epV87tvpM+J2O2J5s2AvU4e8NJ3eEXe6JJ7FiNNzKMKI7WftXJr2WzO01kMAI9aTCyLxINCLEcvOttlsmtnZ2eRGLNeIT09PWzcY/exnP0tusPrVr36VfA6avnEqfbOW7JzdG5Tks2c5brtZq50R288/7Y1O7g1NeVH5XJqWsdybteyNWDLHbpem03OQvuSNj70i0culaeEoN9y5l7y5WSuvIqiviQBGrCkbxNIzgaxG3PMAkTfMasSRT5PwIRAlAYw4yrQRNAQgAAEIlIUARlyWTDIPCEAAAhCIkgBGHGXaCBoCEIAABMpCACMuSyaZBwQgAAEIREkAI44ybQQNAQhAAAJlIYARlyWTzAMCEIAABKIkgBFHmTaChgAEIACBshDAiMuSSeYBAQhAAAJREsCIo0wbQUMAAhCAQFkIYMRlySTzgAAEIACBKAlgxFGmjaAhAAEIQKAsBDDismSSeUAAAhCAQJQEMOIo00bQEIAABCBQFgIYcVkyyTwgAAEIQCBKAhhxlGkjaAhAAAIQKAsBjLgsmWQeEIAABCAQJYGWEf/tb3978c477/xXlLMgaAhAAAIQgECkBN68efM//w/VkXU4oc8A4QAAAABJRU5ErkJggg==">
          <a:extLst>
            <a:ext uri="{FF2B5EF4-FFF2-40B4-BE49-F238E27FC236}">
              <a16:creationId xmlns:a16="http://schemas.microsoft.com/office/drawing/2014/main" id="{00000000-0008-0000-1100-000001180000}"/>
            </a:ext>
          </a:extLst>
        </xdr:cNvPr>
        <xdr:cNvSpPr>
          <a:spLocks noChangeAspect="1" noChangeArrowheads="1"/>
        </xdr:cNvSpPr>
      </xdr:nvSpPr>
      <xdr:spPr bwMode="auto">
        <a:xfrm>
          <a:off x="0" y="428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76199</xdr:colOff>
      <xdr:row>2</xdr:row>
      <xdr:rowOff>28574</xdr:rowOff>
    </xdr:from>
    <xdr:to>
      <xdr:col>8</xdr:col>
      <xdr:colOff>142874</xdr:colOff>
      <xdr:row>17</xdr:row>
      <xdr:rowOff>57149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1100-000003000000}"/>
            </a:ext>
            <a:ext uri="{147F2762-F138-4A5C-976F-8EAC2B608ADB}">
              <a16:predDERef xmlns:a16="http://schemas.microsoft.com/office/drawing/2014/main" pred="{00000000-0008-0000-1100-000001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38100</xdr:rowOff>
    </xdr:from>
    <xdr:to>
      <xdr:col>7</xdr:col>
      <xdr:colOff>381000</xdr:colOff>
      <xdr:row>16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10850b13eb9d9f1d/ASES%20UCA/BASE%20DE%20DATOS%20ASES-20230409T033946Z-001/BASE%20DE%20DATOS%20ASES/BASES%202020/Copia%20de%20L&#243;pez%20y%20Molina_BBDD_ASES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1 presupuesto"/>
      <sheetName val="G2 AVAD"/>
      <sheetName val="G3 AVAD sexo"/>
      <sheetName val="G4 suicidios depto"/>
      <sheetName val="G5 suicidios mes"/>
      <sheetName val="A1 Bitácora"/>
      <sheetName val="ctas prod"/>
      <sheetName val="pérdida produc"/>
    </sheetNames>
    <sheetDataSet>
      <sheetData sheetId="0"/>
      <sheetData sheetId="1"/>
      <sheetData sheetId="2"/>
      <sheetData sheetId="3">
        <row r="1">
          <cell r="A1" t="str">
            <v>Departamento</v>
          </cell>
          <cell r="B1" t="str">
            <v>Suicidios por
departamento</v>
          </cell>
        </row>
        <row r="2">
          <cell r="A2" t="str">
            <v>Cabañas</v>
          </cell>
          <cell r="B2">
            <v>1</v>
          </cell>
        </row>
        <row r="3">
          <cell r="A3" t="str">
            <v>La Unión</v>
          </cell>
          <cell r="B3">
            <v>1</v>
          </cell>
        </row>
        <row r="4">
          <cell r="A4" t="str">
            <v>La Unión</v>
          </cell>
          <cell r="B4">
            <v>1</v>
          </cell>
        </row>
        <row r="5">
          <cell r="A5" t="str">
            <v>Santa Ana</v>
          </cell>
          <cell r="B5">
            <v>1</v>
          </cell>
        </row>
        <row r="6">
          <cell r="A6" t="str">
            <v>Cuscatlán</v>
          </cell>
          <cell r="B6">
            <v>2</v>
          </cell>
        </row>
        <row r="7">
          <cell r="A7" t="str">
            <v>La Libertad</v>
          </cell>
          <cell r="B7">
            <v>2</v>
          </cell>
        </row>
        <row r="8">
          <cell r="A8" t="str">
            <v>San Miguel</v>
          </cell>
          <cell r="B8">
            <v>2</v>
          </cell>
        </row>
        <row r="9">
          <cell r="A9" t="str">
            <v>Usulután</v>
          </cell>
          <cell r="B9">
            <v>2</v>
          </cell>
        </row>
        <row r="10">
          <cell r="A10" t="str">
            <v>La Paz</v>
          </cell>
          <cell r="B10">
            <v>3</v>
          </cell>
        </row>
        <row r="11">
          <cell r="A11" t="str">
            <v>Sonsonate</v>
          </cell>
          <cell r="B11">
            <v>3</v>
          </cell>
        </row>
        <row r="12">
          <cell r="A12" t="str">
            <v>Ahuachapán</v>
          </cell>
          <cell r="B12">
            <v>4</v>
          </cell>
        </row>
        <row r="13">
          <cell r="A13" t="str">
            <v>San Salvador</v>
          </cell>
          <cell r="B13">
            <v>5</v>
          </cell>
        </row>
      </sheetData>
      <sheetData sheetId="4">
        <row r="1">
          <cell r="B1" t="str">
            <v>Suicidios</v>
          </cell>
        </row>
        <row r="2">
          <cell r="A2" t="str">
            <v>enero</v>
          </cell>
          <cell r="B2">
            <v>5</v>
          </cell>
        </row>
        <row r="3">
          <cell r="A3" t="str">
            <v>febrero</v>
          </cell>
          <cell r="B3">
            <v>5</v>
          </cell>
        </row>
        <row r="4">
          <cell r="A4" t="str">
            <v>marzo</v>
          </cell>
          <cell r="B4">
            <v>2</v>
          </cell>
        </row>
        <row r="5">
          <cell r="A5" t="str">
            <v>abril</v>
          </cell>
          <cell r="B5">
            <v>9</v>
          </cell>
        </row>
        <row r="6">
          <cell r="A6" t="str">
            <v>mayo</v>
          </cell>
          <cell r="B6">
            <v>4</v>
          </cell>
        </row>
        <row r="7">
          <cell r="A7" t="str">
            <v>junio</v>
          </cell>
          <cell r="B7">
            <v>2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cr.gob.sv/bcrsite/?cat=1000&amp;lang=es" TargetMode="Externa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1"/>
  <sheetViews>
    <sheetView tabSelected="1" workbookViewId="0">
      <selection activeCell="R10" sqref="R10"/>
    </sheetView>
  </sheetViews>
  <sheetFormatPr defaultColWidth="9.140625" defaultRowHeight="15"/>
  <sheetData>
    <row r="1" spans="1:16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16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</row>
    <row r="3" spans="1:16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6">
      <c r="A5" s="135"/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</row>
    <row r="6" spans="1:16">
      <c r="A6" s="135"/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</row>
    <row r="7" spans="1:16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</row>
    <row r="8" spans="1:16">
      <c r="A8" s="135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</row>
    <row r="9" spans="1:16">
      <c r="A9" s="88"/>
      <c r="B9" s="88"/>
      <c r="C9" s="89"/>
      <c r="D9" s="88"/>
      <c r="E9" s="88"/>
      <c r="F9" s="88"/>
      <c r="G9" s="88"/>
      <c r="H9" s="88"/>
      <c r="I9" s="88"/>
      <c r="J9" s="89"/>
      <c r="K9" s="88"/>
      <c r="L9" s="88"/>
      <c r="M9" s="88"/>
      <c r="N9" s="88"/>
      <c r="O9" s="88"/>
      <c r="P9" s="88"/>
    </row>
    <row r="10" spans="1:16" ht="20.25">
      <c r="A10" s="88"/>
      <c r="B10" s="136" t="s">
        <v>1</v>
      </c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88"/>
    </row>
    <row r="11" spans="1:16">
      <c r="A11" s="88"/>
      <c r="B11" s="137" t="s">
        <v>2</v>
      </c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88"/>
    </row>
    <row r="12" spans="1:16" ht="33.75" customHeight="1">
      <c r="A12" s="88"/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88"/>
    </row>
    <row r="13" spans="1:16" ht="39" customHeight="1">
      <c r="A13" s="88"/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88"/>
    </row>
    <row r="14" spans="1:16">
      <c r="A14" s="88"/>
      <c r="B14" s="88"/>
      <c r="C14" s="89"/>
      <c r="D14" s="88"/>
      <c r="E14" s="88"/>
      <c r="F14" s="88"/>
      <c r="G14" s="88"/>
      <c r="H14" s="88"/>
      <c r="I14" s="88"/>
      <c r="J14" s="89"/>
      <c r="K14" s="88"/>
      <c r="L14" s="88"/>
      <c r="M14" s="88"/>
      <c r="N14" s="88"/>
      <c r="O14" s="88"/>
      <c r="P14" s="88"/>
    </row>
    <row r="15" spans="1:16" ht="54.75" customHeight="1">
      <c r="A15" s="88"/>
      <c r="B15" s="90">
        <v>1</v>
      </c>
      <c r="C15" s="138" t="s">
        <v>3</v>
      </c>
      <c r="D15" s="138"/>
      <c r="E15" s="138"/>
      <c r="F15" s="138"/>
      <c r="G15" s="138"/>
      <c r="H15" s="88"/>
      <c r="I15" s="88"/>
      <c r="J15" s="90">
        <v>2</v>
      </c>
      <c r="K15" s="138" t="s">
        <v>4</v>
      </c>
      <c r="L15" s="138"/>
      <c r="M15" s="138"/>
      <c r="N15" s="138"/>
      <c r="O15" s="138"/>
      <c r="P15" s="88"/>
    </row>
    <row r="16" spans="1:16" ht="20.25">
      <c r="A16" s="88"/>
      <c r="B16" s="91"/>
      <c r="C16" s="92"/>
      <c r="D16" s="92"/>
      <c r="E16" s="92"/>
      <c r="F16" s="92"/>
      <c r="G16" s="93"/>
      <c r="H16" s="88"/>
      <c r="I16" s="91"/>
      <c r="J16" s="94"/>
      <c r="K16" s="92"/>
      <c r="L16" s="92"/>
      <c r="M16" s="92"/>
      <c r="N16" s="88"/>
      <c r="O16" s="88"/>
      <c r="P16" s="88"/>
    </row>
    <row r="17" spans="1:16" ht="20.25">
      <c r="A17" s="88"/>
      <c r="B17" s="139" t="s">
        <v>5</v>
      </c>
      <c r="C17" s="139"/>
      <c r="D17" s="139"/>
      <c r="E17" s="139"/>
      <c r="F17" s="139"/>
      <c r="G17" s="139"/>
      <c r="H17" s="88"/>
      <c r="I17" s="91"/>
      <c r="J17" s="139" t="s">
        <v>5</v>
      </c>
      <c r="K17" s="139"/>
      <c r="L17" s="139"/>
      <c r="M17" s="139"/>
      <c r="N17" s="139"/>
      <c r="O17" s="139"/>
      <c r="P17" s="88"/>
    </row>
    <row r="18" spans="1:16" ht="20.25">
      <c r="A18" s="88"/>
      <c r="B18" s="88"/>
      <c r="C18" s="89"/>
      <c r="D18" s="88"/>
      <c r="E18" s="88"/>
      <c r="F18" s="88"/>
      <c r="G18" s="88"/>
      <c r="H18" s="88"/>
      <c r="I18" s="91"/>
      <c r="J18" s="89"/>
      <c r="K18" s="88"/>
      <c r="L18" s="88"/>
      <c r="M18" s="88"/>
      <c r="N18" s="88"/>
      <c r="O18" s="88"/>
      <c r="P18" s="88"/>
    </row>
    <row r="19" spans="1:16" ht="28.5" customHeight="1">
      <c r="A19" s="88"/>
      <c r="B19" s="99">
        <v>1.1000000000000001</v>
      </c>
      <c r="C19" s="140" t="s">
        <v>6</v>
      </c>
      <c r="D19" s="140"/>
      <c r="E19" s="140"/>
      <c r="F19" s="140"/>
      <c r="G19" s="140"/>
      <c r="H19" s="88"/>
      <c r="I19" s="91"/>
      <c r="J19" s="95"/>
      <c r="K19" s="140"/>
      <c r="L19" s="140"/>
      <c r="M19" s="140"/>
      <c r="N19" s="140"/>
      <c r="O19" s="140"/>
      <c r="P19" s="88"/>
    </row>
    <row r="20" spans="1:16">
      <c r="A20" s="88"/>
      <c r="B20" s="88"/>
      <c r="C20" s="89"/>
      <c r="D20" s="88"/>
      <c r="E20" s="88"/>
      <c r="F20" s="88"/>
      <c r="G20" s="88"/>
      <c r="H20" s="88"/>
      <c r="I20" s="88"/>
      <c r="J20" s="89"/>
      <c r="K20" s="88"/>
      <c r="L20" s="88"/>
      <c r="M20" s="88"/>
      <c r="N20" s="88"/>
      <c r="O20" s="88"/>
      <c r="P20" s="88"/>
    </row>
    <row r="21" spans="1:16">
      <c r="A21" s="88"/>
      <c r="B21" s="139" t="s">
        <v>7</v>
      </c>
      <c r="C21" s="139"/>
      <c r="D21" s="139"/>
      <c r="E21" s="139"/>
      <c r="F21" s="139"/>
      <c r="G21" s="139"/>
      <c r="H21" s="88"/>
      <c r="I21" s="88"/>
      <c r="J21" s="139" t="s">
        <v>7</v>
      </c>
      <c r="K21" s="139"/>
      <c r="L21" s="139"/>
      <c r="M21" s="139"/>
      <c r="N21" s="139"/>
      <c r="O21" s="139"/>
      <c r="P21" s="88"/>
    </row>
    <row r="22" spans="1:16">
      <c r="A22" s="88"/>
      <c r="B22" s="88"/>
      <c r="C22" s="89"/>
      <c r="D22" s="88"/>
      <c r="E22" s="88"/>
      <c r="F22" s="88"/>
      <c r="G22" s="88"/>
      <c r="H22" s="88"/>
      <c r="I22" s="88"/>
      <c r="J22" s="94"/>
      <c r="K22" s="97"/>
      <c r="L22" s="97"/>
      <c r="M22" s="97"/>
      <c r="N22" s="97"/>
      <c r="O22" s="96"/>
      <c r="P22" s="88"/>
    </row>
    <row r="23" spans="1:16" ht="28.5" customHeight="1">
      <c r="A23" s="88"/>
      <c r="B23" s="99">
        <v>1.1000000000000001</v>
      </c>
      <c r="C23" s="140" t="s">
        <v>6</v>
      </c>
      <c r="D23" s="140"/>
      <c r="E23" s="140"/>
      <c r="F23" s="140"/>
      <c r="G23" s="140"/>
      <c r="H23" s="88"/>
      <c r="I23" s="88"/>
      <c r="J23" s="98"/>
      <c r="K23" s="140"/>
      <c r="L23" s="140"/>
      <c r="M23" s="140"/>
      <c r="N23" s="140"/>
      <c r="O23" s="140"/>
      <c r="P23" s="88"/>
    </row>
    <row r="24" spans="1:16">
      <c r="A24" s="88"/>
      <c r="B24" s="94"/>
      <c r="C24" s="92"/>
      <c r="D24" s="92"/>
      <c r="E24" s="92"/>
      <c r="F24" s="92"/>
      <c r="G24" s="96"/>
      <c r="H24" s="88"/>
      <c r="I24" s="88"/>
      <c r="J24" s="94"/>
      <c r="K24" s="97"/>
      <c r="L24" s="97"/>
      <c r="M24" s="97"/>
      <c r="N24" s="97"/>
      <c r="O24" s="96"/>
      <c r="P24" s="88"/>
    </row>
    <row r="25" spans="1:16">
      <c r="A25" s="88"/>
      <c r="B25" s="88"/>
      <c r="C25" s="89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</row>
    <row r="26" spans="1:16">
      <c r="A26" s="88"/>
      <c r="B26" s="139" t="s">
        <v>8</v>
      </c>
      <c r="C26" s="139"/>
      <c r="D26" s="139"/>
      <c r="E26" s="139"/>
      <c r="F26" s="139"/>
      <c r="G26" s="139"/>
      <c r="H26" s="88"/>
      <c r="I26" s="88"/>
      <c r="J26" s="139" t="s">
        <v>8</v>
      </c>
      <c r="K26" s="139"/>
      <c r="L26" s="139"/>
      <c r="M26" s="139"/>
      <c r="N26" s="139"/>
      <c r="O26" s="139"/>
      <c r="P26" s="88"/>
    </row>
    <row r="27" spans="1:16">
      <c r="A27" s="88"/>
      <c r="B27" s="88"/>
      <c r="C27" s="89"/>
      <c r="D27" s="88"/>
      <c r="E27" s="88"/>
      <c r="F27" s="88"/>
      <c r="G27" s="88"/>
      <c r="H27" s="88"/>
      <c r="I27" s="88"/>
      <c r="J27" s="94"/>
      <c r="K27" s="97"/>
      <c r="L27" s="97"/>
      <c r="M27" s="97"/>
      <c r="N27" s="97"/>
      <c r="O27" s="96"/>
      <c r="P27" s="88"/>
    </row>
    <row r="28" spans="1:16">
      <c r="A28" s="88"/>
      <c r="B28" s="88"/>
      <c r="C28" s="89"/>
      <c r="D28" s="88"/>
      <c r="E28" s="88"/>
      <c r="F28" s="88"/>
      <c r="G28" s="88"/>
      <c r="H28" s="88"/>
      <c r="I28" s="88"/>
      <c r="J28" s="89"/>
      <c r="K28" s="88"/>
      <c r="L28" s="88"/>
      <c r="M28" s="88"/>
      <c r="N28" s="88"/>
      <c r="O28" s="88"/>
      <c r="P28" s="88"/>
    </row>
    <row r="29" spans="1:16" ht="81" customHeight="1">
      <c r="A29" s="88"/>
      <c r="B29" s="90">
        <v>3</v>
      </c>
      <c r="C29" s="138" t="s">
        <v>9</v>
      </c>
      <c r="D29" s="138"/>
      <c r="E29" s="138"/>
      <c r="F29" s="138"/>
      <c r="G29" s="138"/>
      <c r="H29" s="93"/>
      <c r="I29" s="88"/>
      <c r="J29" s="90">
        <v>4</v>
      </c>
      <c r="K29" s="138" t="s">
        <v>10</v>
      </c>
      <c r="L29" s="138"/>
      <c r="M29" s="138"/>
      <c r="N29" s="138"/>
      <c r="O29" s="138"/>
      <c r="P29" s="88"/>
    </row>
    <row r="30" spans="1:16" ht="20.25">
      <c r="A30" s="88"/>
      <c r="B30" s="100"/>
      <c r="C30" s="101"/>
      <c r="D30" s="101"/>
      <c r="E30" s="101"/>
      <c r="F30" s="101"/>
      <c r="G30" s="101"/>
      <c r="H30" s="93"/>
      <c r="I30" s="88"/>
      <c r="J30" s="100"/>
      <c r="K30" s="101"/>
      <c r="L30" s="101"/>
      <c r="M30" s="101"/>
      <c r="N30" s="101"/>
      <c r="O30" s="101"/>
      <c r="P30" s="88"/>
    </row>
    <row r="31" spans="1:16" ht="20.25">
      <c r="A31" s="88"/>
      <c r="B31" s="100"/>
      <c r="C31" s="101"/>
      <c r="D31" s="101"/>
      <c r="E31" s="101"/>
      <c r="F31" s="101"/>
      <c r="G31" s="101"/>
      <c r="H31" s="93"/>
      <c r="I31" s="88"/>
      <c r="J31" s="100"/>
      <c r="K31" s="101"/>
      <c r="L31" s="101"/>
      <c r="M31" s="101"/>
      <c r="N31" s="101"/>
      <c r="O31" s="101"/>
      <c r="P31" s="88"/>
    </row>
    <row r="32" spans="1:16" ht="66" customHeight="1">
      <c r="A32" s="88"/>
      <c r="B32" s="90">
        <v>5</v>
      </c>
      <c r="C32" s="138" t="s">
        <v>11</v>
      </c>
      <c r="D32" s="138"/>
      <c r="E32" s="138"/>
      <c r="F32" s="138"/>
      <c r="G32" s="138"/>
      <c r="H32" s="93"/>
      <c r="I32" s="88"/>
      <c r="J32" s="90">
        <v>6</v>
      </c>
      <c r="K32" s="138" t="s">
        <v>12</v>
      </c>
      <c r="L32" s="138"/>
      <c r="M32" s="138"/>
      <c r="N32" s="138"/>
      <c r="O32" s="138"/>
      <c r="P32" s="88"/>
    </row>
    <row r="33" spans="1:16" ht="20.25">
      <c r="A33" s="88"/>
      <c r="B33" s="88"/>
      <c r="C33" s="89"/>
      <c r="D33" s="88"/>
      <c r="E33" s="88"/>
      <c r="F33" s="88"/>
      <c r="G33" s="88"/>
      <c r="H33" s="88"/>
      <c r="I33" s="91"/>
      <c r="J33" s="88"/>
      <c r="K33" s="88"/>
      <c r="L33" s="88"/>
      <c r="M33" s="88"/>
      <c r="N33" s="88"/>
      <c r="O33" s="88"/>
      <c r="P33" s="88"/>
    </row>
    <row r="34" spans="1:16" ht="20.25">
      <c r="A34" s="88"/>
      <c r="B34" s="139" t="s">
        <v>5</v>
      </c>
      <c r="C34" s="139"/>
      <c r="D34" s="139"/>
      <c r="E34" s="139"/>
      <c r="F34" s="139"/>
      <c r="G34" s="139"/>
      <c r="H34" s="88"/>
      <c r="I34" s="91"/>
      <c r="J34" s="139" t="s">
        <v>5</v>
      </c>
      <c r="K34" s="139"/>
      <c r="L34" s="139"/>
      <c r="M34" s="139"/>
      <c r="N34" s="139"/>
      <c r="O34" s="139"/>
      <c r="P34" s="88"/>
    </row>
    <row r="35" spans="1:16" ht="20.25">
      <c r="A35" s="88"/>
      <c r="B35" s="94"/>
      <c r="C35" s="92"/>
      <c r="D35" s="92"/>
      <c r="E35" s="92"/>
      <c r="F35" s="92"/>
      <c r="G35" s="96"/>
      <c r="H35" s="88"/>
      <c r="I35" s="91"/>
      <c r="J35" s="94"/>
      <c r="K35" s="92"/>
      <c r="L35" s="92"/>
      <c r="M35" s="92"/>
      <c r="N35" s="92"/>
      <c r="O35" s="96"/>
      <c r="P35" s="88"/>
    </row>
    <row r="36" spans="1:16" ht="20.25">
      <c r="A36" s="88"/>
      <c r="B36" s="99">
        <v>5.0999999999999996</v>
      </c>
      <c r="C36" s="140" t="s">
        <v>13</v>
      </c>
      <c r="D36" s="140"/>
      <c r="E36" s="140"/>
      <c r="F36" s="140"/>
      <c r="G36" s="140"/>
      <c r="H36" s="88"/>
      <c r="I36" s="91"/>
      <c r="J36" s="99">
        <v>6.1</v>
      </c>
      <c r="K36" s="140" t="s">
        <v>14</v>
      </c>
      <c r="L36" s="140"/>
      <c r="M36" s="140"/>
      <c r="N36" s="140"/>
      <c r="O36" s="140"/>
      <c r="P36" s="88"/>
    </row>
    <row r="37" spans="1:16" ht="20.25">
      <c r="A37" s="88"/>
      <c r="B37" s="94"/>
      <c r="C37" s="92"/>
      <c r="D37" s="92"/>
      <c r="E37" s="92"/>
      <c r="F37" s="92"/>
      <c r="G37" s="96"/>
      <c r="H37" s="88"/>
      <c r="I37" s="91"/>
      <c r="J37" s="94"/>
      <c r="K37" s="92"/>
      <c r="L37" s="92"/>
      <c r="M37" s="92"/>
      <c r="N37" s="92"/>
      <c r="O37" s="96"/>
      <c r="P37" s="88"/>
    </row>
    <row r="38" spans="1:16" ht="20.25">
      <c r="A38" s="88"/>
      <c r="B38" s="99">
        <v>5.2</v>
      </c>
      <c r="C38" s="140" t="s">
        <v>15</v>
      </c>
      <c r="D38" s="140"/>
      <c r="E38" s="140"/>
      <c r="F38" s="140"/>
      <c r="G38" s="140"/>
      <c r="H38" s="88"/>
      <c r="I38" s="91"/>
      <c r="J38" s="99">
        <v>6.2</v>
      </c>
      <c r="K38" s="140" t="s">
        <v>16</v>
      </c>
      <c r="L38" s="140"/>
      <c r="M38" s="140"/>
      <c r="N38" s="140"/>
      <c r="O38" s="140"/>
      <c r="P38" s="88"/>
    </row>
    <row r="39" spans="1:16" ht="20.25">
      <c r="A39" s="88"/>
      <c r="B39" s="91"/>
      <c r="C39" s="92"/>
      <c r="D39" s="92"/>
      <c r="E39" s="92"/>
      <c r="F39" s="92"/>
      <c r="G39" s="96"/>
      <c r="H39" s="88"/>
      <c r="I39" s="91"/>
      <c r="J39" s="91"/>
      <c r="K39" s="92"/>
      <c r="L39" s="92"/>
      <c r="M39" s="92"/>
      <c r="N39" s="92"/>
      <c r="O39" s="96"/>
      <c r="P39" s="88"/>
    </row>
    <row r="40" spans="1:16" ht="34.5" customHeight="1">
      <c r="A40" s="88"/>
      <c r="B40" s="99">
        <v>5.3</v>
      </c>
      <c r="C40" s="140" t="s">
        <v>17</v>
      </c>
      <c r="D40" s="140"/>
      <c r="E40" s="140"/>
      <c r="F40" s="140"/>
      <c r="G40" s="140"/>
      <c r="H40" s="88"/>
      <c r="I40" s="91"/>
      <c r="J40" s="99">
        <v>6.3</v>
      </c>
      <c r="K40" s="140" t="s">
        <v>18</v>
      </c>
      <c r="L40" s="140"/>
      <c r="M40" s="140"/>
      <c r="N40" s="140"/>
      <c r="O40" s="140"/>
      <c r="P40" s="88"/>
    </row>
    <row r="41" spans="1:16" ht="20.25">
      <c r="A41" s="88"/>
      <c r="B41" s="94"/>
      <c r="C41" s="92"/>
      <c r="D41" s="92"/>
      <c r="E41" s="92"/>
      <c r="F41" s="92"/>
      <c r="G41" s="96"/>
      <c r="H41" s="88"/>
      <c r="I41" s="91"/>
      <c r="J41" s="94"/>
      <c r="K41" s="92"/>
      <c r="L41" s="92"/>
      <c r="M41" s="92"/>
      <c r="N41" s="92"/>
      <c r="O41" s="96"/>
      <c r="P41" s="88"/>
    </row>
    <row r="42" spans="1:16" ht="20.25">
      <c r="A42" s="88"/>
      <c r="B42" s="99">
        <v>5.4</v>
      </c>
      <c r="C42" s="140" t="s">
        <v>19</v>
      </c>
      <c r="D42" s="140"/>
      <c r="E42" s="140"/>
      <c r="F42" s="140"/>
      <c r="G42" s="140"/>
      <c r="H42" s="88"/>
      <c r="I42" s="91"/>
      <c r="J42" s="99">
        <v>6.4</v>
      </c>
      <c r="K42" s="140" t="s">
        <v>20</v>
      </c>
      <c r="L42" s="140"/>
      <c r="M42" s="140"/>
      <c r="N42" s="140"/>
      <c r="O42" s="140"/>
      <c r="P42" s="88"/>
    </row>
    <row r="43" spans="1:16">
      <c r="A43" s="88"/>
      <c r="B43" s="94"/>
      <c r="C43" s="92"/>
      <c r="D43" s="92"/>
      <c r="E43" s="92"/>
      <c r="F43" s="92"/>
      <c r="G43" s="96"/>
      <c r="H43" s="88"/>
      <c r="I43" s="88"/>
      <c r="J43" s="94"/>
      <c r="K43" s="92"/>
      <c r="L43" s="92"/>
      <c r="M43" s="92"/>
      <c r="N43" s="92"/>
      <c r="O43" s="96"/>
      <c r="P43" s="88"/>
    </row>
    <row r="44" spans="1:16" ht="27" customHeight="1">
      <c r="A44" s="88"/>
      <c r="B44" s="99">
        <v>5.5</v>
      </c>
      <c r="C44" s="140" t="s">
        <v>21</v>
      </c>
      <c r="D44" s="140"/>
      <c r="E44" s="140"/>
      <c r="F44" s="140"/>
      <c r="G44" s="140"/>
      <c r="H44" s="88"/>
      <c r="I44" s="88"/>
      <c r="J44" s="99">
        <v>6.5</v>
      </c>
      <c r="K44" s="140" t="s">
        <v>22</v>
      </c>
      <c r="L44" s="140"/>
      <c r="M44" s="140"/>
      <c r="N44" s="140"/>
      <c r="O44" s="140"/>
      <c r="P44" s="88"/>
    </row>
    <row r="45" spans="1:16">
      <c r="A45" s="88"/>
      <c r="B45" s="88"/>
      <c r="C45" s="89"/>
      <c r="D45" s="88"/>
      <c r="E45" s="88"/>
      <c r="F45" s="88"/>
      <c r="G45" s="88"/>
      <c r="H45" s="88"/>
      <c r="I45" s="88"/>
      <c r="J45" s="88"/>
      <c r="K45" s="89"/>
      <c r="L45" s="88"/>
      <c r="M45" s="88"/>
      <c r="N45" s="88"/>
      <c r="O45" s="88"/>
      <c r="P45" s="88"/>
    </row>
    <row r="46" spans="1:16" ht="18">
      <c r="A46" s="88"/>
      <c r="B46" s="99"/>
      <c r="C46" s="140"/>
      <c r="D46" s="140"/>
      <c r="E46" s="140"/>
      <c r="F46" s="140"/>
      <c r="G46" s="140"/>
      <c r="H46" s="88"/>
      <c r="I46" s="88"/>
      <c r="J46" s="99">
        <v>6.6</v>
      </c>
      <c r="K46" s="140" t="s">
        <v>23</v>
      </c>
      <c r="L46" s="140"/>
      <c r="M46" s="140"/>
      <c r="N46" s="140"/>
      <c r="O46" s="140"/>
      <c r="P46" s="88"/>
    </row>
    <row r="47" spans="1:16">
      <c r="A47" s="88"/>
      <c r="B47" s="88"/>
      <c r="C47" s="89"/>
      <c r="D47" s="88"/>
      <c r="E47" s="88"/>
      <c r="F47" s="88"/>
      <c r="G47" s="88"/>
      <c r="H47" s="88"/>
      <c r="I47" s="88"/>
      <c r="J47" s="88"/>
      <c r="K47" s="89"/>
      <c r="L47" s="88"/>
      <c r="M47" s="88"/>
      <c r="N47" s="88"/>
      <c r="O47" s="88"/>
      <c r="P47" s="88"/>
    </row>
    <row r="48" spans="1:16" ht="18">
      <c r="A48" s="88"/>
      <c r="B48" s="99"/>
      <c r="C48" s="140"/>
      <c r="D48" s="140"/>
      <c r="E48" s="140"/>
      <c r="F48" s="140"/>
      <c r="G48" s="140"/>
      <c r="H48" s="88"/>
      <c r="I48" s="88"/>
      <c r="J48" s="99">
        <v>6.7</v>
      </c>
      <c r="K48" s="140" t="s">
        <v>24</v>
      </c>
      <c r="L48" s="140"/>
      <c r="M48" s="140"/>
      <c r="N48" s="140"/>
      <c r="O48" s="140"/>
      <c r="P48" s="88"/>
    </row>
    <row r="49" spans="1:16">
      <c r="A49" s="88"/>
      <c r="B49" s="94"/>
      <c r="C49" s="92"/>
      <c r="D49" s="92"/>
      <c r="E49" s="92"/>
      <c r="F49" s="92"/>
      <c r="G49" s="96"/>
      <c r="H49" s="88"/>
      <c r="I49" s="88"/>
      <c r="J49" s="94"/>
      <c r="K49" s="92"/>
      <c r="L49" s="92"/>
      <c r="M49" s="92"/>
      <c r="N49" s="92"/>
      <c r="O49" s="96"/>
      <c r="P49" s="88"/>
    </row>
    <row r="50" spans="1:16">
      <c r="A50" s="88"/>
      <c r="B50" s="94"/>
      <c r="C50" s="92"/>
      <c r="D50" s="92"/>
      <c r="E50" s="92"/>
      <c r="F50" s="92"/>
      <c r="G50" s="96"/>
      <c r="H50" s="88"/>
      <c r="I50" s="88"/>
      <c r="J50" s="94"/>
      <c r="K50" s="92"/>
      <c r="L50" s="92"/>
      <c r="M50" s="92"/>
      <c r="N50" s="92"/>
      <c r="O50" s="96"/>
      <c r="P50" s="88"/>
    </row>
    <row r="51" spans="1:16">
      <c r="A51" s="88"/>
      <c r="B51" s="139" t="s">
        <v>7</v>
      </c>
      <c r="C51" s="139"/>
      <c r="D51" s="139"/>
      <c r="E51" s="139"/>
      <c r="F51" s="139"/>
      <c r="G51" s="139"/>
      <c r="H51" s="88"/>
      <c r="I51" s="88"/>
      <c r="J51" s="139" t="s">
        <v>7</v>
      </c>
      <c r="K51" s="139"/>
      <c r="L51" s="139"/>
      <c r="M51" s="139"/>
      <c r="N51" s="139"/>
      <c r="O51" s="139"/>
      <c r="P51" s="88"/>
    </row>
    <row r="52" spans="1:16" ht="20.25">
      <c r="A52" s="88"/>
      <c r="B52" s="94"/>
      <c r="C52" s="92"/>
      <c r="D52" s="92"/>
      <c r="E52" s="92"/>
      <c r="F52" s="92"/>
      <c r="G52" s="96"/>
      <c r="H52" s="88"/>
      <c r="I52" s="91"/>
      <c r="J52" s="94"/>
      <c r="K52" s="92"/>
      <c r="L52" s="92"/>
      <c r="M52" s="92"/>
      <c r="N52" s="92"/>
      <c r="O52" s="96"/>
      <c r="P52" s="88"/>
    </row>
    <row r="53" spans="1:16" ht="20.25">
      <c r="A53" s="88"/>
      <c r="B53" s="99">
        <v>5.0999999999999996</v>
      </c>
      <c r="C53" s="140" t="s">
        <v>25</v>
      </c>
      <c r="D53" s="140"/>
      <c r="E53" s="140"/>
      <c r="F53" s="140"/>
      <c r="G53" s="140"/>
      <c r="H53" s="88"/>
      <c r="I53" s="91"/>
      <c r="J53" s="99">
        <v>6.1</v>
      </c>
      <c r="K53" s="140" t="s">
        <v>26</v>
      </c>
      <c r="L53" s="140"/>
      <c r="M53" s="140"/>
      <c r="N53" s="140"/>
      <c r="O53" s="140"/>
      <c r="P53" s="88"/>
    </row>
    <row r="54" spans="1:16" ht="20.25">
      <c r="A54" s="88"/>
      <c r="B54" s="94"/>
      <c r="C54" s="92"/>
      <c r="D54" s="92"/>
      <c r="E54" s="92"/>
      <c r="F54" s="92"/>
      <c r="G54" s="96"/>
      <c r="H54" s="88"/>
      <c r="I54" s="91"/>
      <c r="J54" s="94"/>
      <c r="K54" s="92"/>
      <c r="L54" s="92"/>
      <c r="M54" s="92"/>
      <c r="N54" s="92"/>
      <c r="O54" s="96"/>
      <c r="P54" s="88"/>
    </row>
    <row r="55" spans="1:16" ht="20.25">
      <c r="A55" s="88"/>
      <c r="B55" s="99">
        <v>5.2</v>
      </c>
      <c r="C55" s="140" t="s">
        <v>15</v>
      </c>
      <c r="D55" s="140"/>
      <c r="E55" s="140"/>
      <c r="F55" s="140"/>
      <c r="G55" s="140"/>
      <c r="H55" s="88"/>
      <c r="I55" s="91"/>
      <c r="J55" s="99">
        <v>6.2</v>
      </c>
      <c r="K55" s="140" t="s">
        <v>16</v>
      </c>
      <c r="L55" s="140"/>
      <c r="M55" s="140"/>
      <c r="N55" s="140"/>
      <c r="O55" s="140"/>
      <c r="P55" s="88"/>
    </row>
    <row r="56" spans="1:16" ht="20.25">
      <c r="A56" s="88"/>
      <c r="B56" s="91"/>
      <c r="C56" s="92"/>
      <c r="D56" s="92"/>
      <c r="E56" s="92"/>
      <c r="F56" s="92"/>
      <c r="G56" s="96"/>
      <c r="H56" s="88"/>
      <c r="I56" s="91"/>
      <c r="J56" s="91"/>
      <c r="K56" s="92"/>
      <c r="L56" s="92"/>
      <c r="M56" s="92"/>
      <c r="N56" s="92"/>
      <c r="O56" s="96"/>
      <c r="P56" s="88"/>
    </row>
    <row r="57" spans="1:16" ht="20.25">
      <c r="A57" s="88"/>
      <c r="B57" s="99">
        <v>5.3</v>
      </c>
      <c r="C57" s="140" t="s">
        <v>17</v>
      </c>
      <c r="D57" s="140"/>
      <c r="E57" s="140"/>
      <c r="F57" s="140"/>
      <c r="G57" s="140"/>
      <c r="H57" s="88"/>
      <c r="I57" s="91"/>
      <c r="J57" s="99">
        <v>6.3</v>
      </c>
      <c r="K57" s="140" t="s">
        <v>18</v>
      </c>
      <c r="L57" s="140"/>
      <c r="M57" s="140"/>
      <c r="N57" s="140"/>
      <c r="O57" s="140"/>
      <c r="P57" s="88"/>
    </row>
    <row r="58" spans="1:16" ht="20.25">
      <c r="A58" s="88"/>
      <c r="B58" s="94"/>
      <c r="C58" s="92"/>
      <c r="D58" s="92"/>
      <c r="E58" s="92"/>
      <c r="F58" s="92"/>
      <c r="G58" s="96"/>
      <c r="H58" s="88"/>
      <c r="I58" s="91"/>
      <c r="J58" s="94"/>
      <c r="K58" s="92"/>
      <c r="L58" s="92"/>
      <c r="M58" s="92"/>
      <c r="N58" s="92"/>
      <c r="O58" s="96"/>
      <c r="P58" s="88"/>
    </row>
    <row r="59" spans="1:16" ht="24.75" customHeight="1">
      <c r="A59" s="88"/>
      <c r="B59" s="99">
        <v>5.4</v>
      </c>
      <c r="C59" s="140" t="s">
        <v>27</v>
      </c>
      <c r="D59" s="140"/>
      <c r="E59" s="140"/>
      <c r="F59" s="140"/>
      <c r="G59" s="140"/>
      <c r="H59" s="88"/>
      <c r="I59" s="91"/>
      <c r="J59" s="99">
        <v>6.4</v>
      </c>
      <c r="K59" s="140" t="s">
        <v>28</v>
      </c>
      <c r="L59" s="140"/>
      <c r="M59" s="140"/>
      <c r="N59" s="140"/>
      <c r="O59" s="140"/>
      <c r="P59" s="88"/>
    </row>
    <row r="60" spans="1:16">
      <c r="A60" s="88"/>
      <c r="B60" s="94"/>
      <c r="C60" s="92"/>
      <c r="D60" s="92"/>
      <c r="E60" s="92"/>
      <c r="F60" s="92"/>
      <c r="G60" s="96"/>
      <c r="H60" s="88"/>
      <c r="I60" s="88"/>
      <c r="J60" s="94"/>
      <c r="K60" s="92"/>
      <c r="L60" s="92"/>
      <c r="M60" s="92"/>
      <c r="N60" s="92"/>
      <c r="O60" s="96"/>
      <c r="P60" s="88"/>
    </row>
    <row r="61" spans="1:16" ht="30.75" customHeight="1">
      <c r="A61" s="88"/>
      <c r="B61" s="99"/>
      <c r="C61" s="140"/>
      <c r="D61" s="140"/>
      <c r="E61" s="140"/>
      <c r="F61" s="140"/>
      <c r="G61" s="140"/>
      <c r="H61" s="88"/>
      <c r="I61" s="88"/>
      <c r="J61" s="99">
        <v>6.5</v>
      </c>
      <c r="K61" s="140" t="s">
        <v>22</v>
      </c>
      <c r="L61" s="140"/>
      <c r="M61" s="140"/>
      <c r="N61" s="140"/>
      <c r="O61" s="140"/>
      <c r="P61" s="88"/>
    </row>
    <row r="62" spans="1:16">
      <c r="A62" s="88"/>
      <c r="B62" s="88"/>
      <c r="C62" s="89"/>
      <c r="D62" s="88"/>
      <c r="E62" s="88"/>
      <c r="F62" s="88"/>
      <c r="G62" s="88"/>
      <c r="H62" s="88"/>
      <c r="I62" s="88"/>
      <c r="J62" s="88"/>
      <c r="K62" s="89"/>
      <c r="L62" s="88"/>
      <c r="M62" s="88"/>
      <c r="N62" s="88"/>
      <c r="O62" s="88"/>
      <c r="P62" s="88"/>
    </row>
    <row r="63" spans="1:16" ht="18">
      <c r="A63" s="88"/>
      <c r="B63" s="99"/>
      <c r="C63" s="140"/>
      <c r="D63" s="140"/>
      <c r="E63" s="140"/>
      <c r="F63" s="140"/>
      <c r="G63" s="140"/>
      <c r="H63" s="88"/>
      <c r="I63" s="88"/>
      <c r="J63" s="99">
        <v>6.6</v>
      </c>
      <c r="K63" s="140" t="s">
        <v>23</v>
      </c>
      <c r="L63" s="140"/>
      <c r="M63" s="140"/>
      <c r="N63" s="140"/>
      <c r="O63" s="140"/>
      <c r="P63" s="88"/>
    </row>
    <row r="64" spans="1:16">
      <c r="A64" s="88"/>
      <c r="B64" s="88"/>
      <c r="C64" s="89"/>
      <c r="D64" s="88"/>
      <c r="E64" s="88"/>
      <c r="F64" s="88"/>
      <c r="G64" s="88"/>
      <c r="H64" s="88"/>
      <c r="I64" s="88"/>
      <c r="J64" s="88"/>
      <c r="K64" s="89"/>
      <c r="L64" s="88"/>
      <c r="M64" s="88"/>
      <c r="N64" s="88"/>
      <c r="O64" s="88"/>
      <c r="P64" s="88"/>
    </row>
    <row r="65" spans="1:16" ht="18">
      <c r="A65" s="88"/>
      <c r="B65" s="99"/>
      <c r="C65" s="140"/>
      <c r="D65" s="140"/>
      <c r="E65" s="140"/>
      <c r="F65" s="140"/>
      <c r="G65" s="140"/>
      <c r="H65" s="88"/>
      <c r="I65" s="88"/>
      <c r="J65" s="99">
        <v>6.7</v>
      </c>
      <c r="K65" s="140" t="s">
        <v>29</v>
      </c>
      <c r="L65" s="140"/>
      <c r="M65" s="140"/>
      <c r="N65" s="140"/>
      <c r="O65" s="140"/>
      <c r="P65" s="88"/>
    </row>
    <row r="66" spans="1:16" ht="14.25" customHeight="1">
      <c r="A66" s="88"/>
      <c r="B66" s="94"/>
      <c r="C66" s="92"/>
      <c r="D66" s="92"/>
      <c r="E66" s="92"/>
      <c r="F66" s="92"/>
      <c r="G66" s="96"/>
      <c r="H66" s="88"/>
      <c r="I66" s="88"/>
      <c r="J66" s="94"/>
      <c r="K66" s="92"/>
      <c r="L66" s="92"/>
      <c r="M66" s="92"/>
      <c r="N66" s="92"/>
      <c r="O66" s="96"/>
      <c r="P66" s="88"/>
    </row>
    <row r="67" spans="1:16" ht="20.25">
      <c r="A67" s="88"/>
      <c r="B67" s="139" t="s">
        <v>8</v>
      </c>
      <c r="C67" s="139"/>
      <c r="D67" s="139"/>
      <c r="E67" s="139"/>
      <c r="F67" s="139"/>
      <c r="G67" s="139"/>
      <c r="H67" s="88"/>
      <c r="I67" s="91"/>
      <c r="J67" s="139" t="s">
        <v>8</v>
      </c>
      <c r="K67" s="139"/>
      <c r="L67" s="139"/>
      <c r="M67" s="139"/>
      <c r="N67" s="139"/>
      <c r="O67" s="139"/>
      <c r="P67" s="88"/>
    </row>
    <row r="68" spans="1:16" ht="20.25">
      <c r="A68" s="88"/>
      <c r="B68" s="94"/>
      <c r="C68" s="92"/>
      <c r="D68" s="92"/>
      <c r="E68" s="92"/>
      <c r="F68" s="92"/>
      <c r="G68" s="96"/>
      <c r="H68" s="88"/>
      <c r="I68" s="91"/>
      <c r="J68" s="88"/>
      <c r="K68" s="88"/>
      <c r="L68" s="88"/>
      <c r="M68" s="88"/>
      <c r="N68" s="88"/>
      <c r="O68" s="88"/>
      <c r="P68" s="88"/>
    </row>
    <row r="69" spans="1:16" ht="56.25" customHeight="1">
      <c r="A69" s="88"/>
      <c r="B69" s="99">
        <v>5.3</v>
      </c>
      <c r="C69" s="140" t="s">
        <v>30</v>
      </c>
      <c r="D69" s="140"/>
      <c r="E69" s="140"/>
      <c r="F69" s="140"/>
      <c r="G69" s="140"/>
      <c r="H69" s="88"/>
      <c r="I69" s="91"/>
      <c r="J69" s="99">
        <v>6.3</v>
      </c>
      <c r="K69" s="140" t="s">
        <v>31</v>
      </c>
      <c r="L69" s="140"/>
      <c r="M69" s="140"/>
      <c r="N69" s="140"/>
      <c r="O69" s="140"/>
      <c r="P69" s="88"/>
    </row>
    <row r="70" spans="1:16" ht="20.25">
      <c r="A70" s="88"/>
      <c r="B70" s="94"/>
      <c r="C70" s="92"/>
      <c r="D70" s="92"/>
      <c r="E70" s="92"/>
      <c r="F70" s="92"/>
      <c r="G70" s="96"/>
      <c r="H70" s="88"/>
      <c r="I70" s="91"/>
      <c r="J70" s="88"/>
      <c r="K70" s="88"/>
      <c r="L70" s="88"/>
      <c r="M70" s="88"/>
      <c r="N70" s="88"/>
      <c r="O70" s="88"/>
      <c r="P70" s="88"/>
    </row>
    <row r="71" spans="1:16" ht="20.25">
      <c r="A71" s="88"/>
      <c r="B71" s="139" t="s">
        <v>32</v>
      </c>
      <c r="C71" s="139"/>
      <c r="D71" s="139"/>
      <c r="E71" s="139"/>
      <c r="F71" s="139"/>
      <c r="G71" s="139"/>
      <c r="H71" s="88"/>
      <c r="I71" s="91"/>
      <c r="J71" s="88"/>
      <c r="K71" s="88"/>
      <c r="L71" s="88"/>
      <c r="M71" s="88"/>
      <c r="N71" s="88"/>
      <c r="O71" s="88"/>
      <c r="P71" s="88"/>
    </row>
    <row r="72" spans="1:16" ht="20.25">
      <c r="A72" s="88"/>
      <c r="B72" s="94"/>
      <c r="C72" s="92"/>
      <c r="D72" s="92"/>
      <c r="E72" s="92"/>
      <c r="F72" s="92"/>
      <c r="G72" s="96"/>
      <c r="H72" s="88"/>
      <c r="I72" s="91"/>
      <c r="J72" s="88"/>
      <c r="K72" s="88"/>
      <c r="L72" s="88"/>
      <c r="M72" s="88"/>
      <c r="N72" s="88"/>
      <c r="O72" s="88"/>
      <c r="P72" s="88"/>
    </row>
    <row r="73" spans="1:16" ht="54.75" customHeight="1">
      <c r="A73" s="88"/>
      <c r="B73" s="99">
        <v>5.0999999999999996</v>
      </c>
      <c r="C73" s="140" t="s">
        <v>19</v>
      </c>
      <c r="D73" s="140"/>
      <c r="E73" s="140"/>
      <c r="F73" s="140"/>
      <c r="G73" s="140"/>
      <c r="H73" s="88"/>
      <c r="I73" s="88"/>
      <c r="J73" s="89"/>
      <c r="K73" s="88"/>
      <c r="L73" s="88"/>
      <c r="M73" s="88"/>
      <c r="N73" s="88"/>
      <c r="O73" s="88"/>
      <c r="P73" s="88"/>
    </row>
    <row r="74" spans="1:16">
      <c r="A74" s="88"/>
      <c r="B74" s="88"/>
      <c r="C74" s="89"/>
      <c r="D74" s="88"/>
      <c r="E74" s="88"/>
      <c r="F74" s="88"/>
      <c r="G74" s="88"/>
      <c r="H74" s="88"/>
      <c r="I74" s="88"/>
      <c r="J74" s="89"/>
      <c r="K74" s="88"/>
      <c r="L74" s="88"/>
      <c r="M74" s="88"/>
      <c r="N74" s="88"/>
      <c r="O74" s="88"/>
      <c r="P74" s="88"/>
    </row>
    <row r="75" spans="1:16" ht="45" customHeight="1">
      <c r="A75" s="88"/>
      <c r="B75" s="90">
        <v>7</v>
      </c>
      <c r="C75" s="138" t="s">
        <v>33</v>
      </c>
      <c r="D75" s="138"/>
      <c r="E75" s="138"/>
      <c r="F75" s="138"/>
      <c r="G75" s="138"/>
      <c r="H75" s="93"/>
      <c r="I75" s="88"/>
      <c r="J75" s="90">
        <v>7</v>
      </c>
      <c r="K75" s="138" t="s">
        <v>34</v>
      </c>
      <c r="L75" s="138"/>
      <c r="M75" s="138"/>
      <c r="N75" s="138"/>
      <c r="O75" s="138"/>
      <c r="P75" s="88"/>
    </row>
    <row r="76" spans="1:16" ht="20.25">
      <c r="A76" s="88"/>
      <c r="B76" s="88"/>
      <c r="C76" s="89"/>
      <c r="D76" s="88"/>
      <c r="E76" s="88"/>
      <c r="F76" s="88"/>
      <c r="G76" s="88"/>
      <c r="H76" s="88"/>
      <c r="I76" s="91"/>
      <c r="J76" s="88"/>
      <c r="K76" s="88"/>
      <c r="L76" s="88"/>
      <c r="M76" s="88"/>
      <c r="N76" s="88"/>
      <c r="O76" s="88"/>
      <c r="P76" s="88"/>
    </row>
    <row r="77" spans="1:16" ht="20.25">
      <c r="A77" s="88"/>
      <c r="B77" s="139"/>
      <c r="C77" s="139"/>
      <c r="D77" s="139"/>
      <c r="E77" s="139"/>
      <c r="F77" s="139"/>
      <c r="G77" s="139"/>
      <c r="H77" s="88"/>
      <c r="I77" s="91"/>
      <c r="J77" s="139" t="s">
        <v>5</v>
      </c>
      <c r="K77" s="139"/>
      <c r="L77" s="139"/>
      <c r="M77" s="139"/>
      <c r="N77" s="139"/>
      <c r="O77" s="139"/>
      <c r="P77" s="88"/>
    </row>
    <row r="78" spans="1:16" ht="20.25">
      <c r="A78" s="88"/>
      <c r="B78" s="94"/>
      <c r="C78" s="92"/>
      <c r="D78" s="92"/>
      <c r="E78" s="92"/>
      <c r="F78" s="92"/>
      <c r="G78" s="96"/>
      <c r="H78" s="88"/>
      <c r="I78" s="91"/>
      <c r="J78" s="94"/>
      <c r="K78" s="92"/>
      <c r="L78" s="92"/>
      <c r="M78" s="92"/>
      <c r="N78" s="92"/>
      <c r="O78" s="96"/>
      <c r="P78" s="88"/>
    </row>
    <row r="79" spans="1:16" ht="36" customHeight="1">
      <c r="A79" s="88"/>
      <c r="B79" s="99"/>
      <c r="C79" s="140"/>
      <c r="D79" s="140"/>
      <c r="E79" s="140"/>
      <c r="F79" s="140"/>
      <c r="G79" s="140"/>
      <c r="H79" s="88"/>
      <c r="I79" s="91"/>
      <c r="J79" s="99">
        <v>7.1</v>
      </c>
      <c r="K79" s="140" t="s">
        <v>35</v>
      </c>
      <c r="L79" s="140"/>
      <c r="M79" s="140"/>
      <c r="N79" s="140"/>
      <c r="O79" s="140"/>
      <c r="P79" s="88"/>
    </row>
    <row r="80" spans="1:16">
      <c r="A80" s="88"/>
      <c r="B80" s="94"/>
      <c r="C80" s="92"/>
      <c r="D80" s="92"/>
      <c r="E80" s="92"/>
      <c r="F80" s="92"/>
      <c r="G80" s="96"/>
      <c r="H80" s="88"/>
      <c r="I80" s="88"/>
      <c r="J80" s="94"/>
      <c r="K80" s="92"/>
      <c r="L80" s="92"/>
      <c r="M80" s="92"/>
      <c r="N80" s="92"/>
      <c r="O80" s="96"/>
      <c r="P80" s="88"/>
    </row>
    <row r="81" spans="1:16">
      <c r="A81" s="88"/>
      <c r="B81" s="94"/>
      <c r="C81" s="92"/>
      <c r="D81" s="92"/>
      <c r="E81" s="92"/>
      <c r="F81" s="92"/>
      <c r="G81" s="96"/>
      <c r="H81" s="88"/>
      <c r="I81" s="88"/>
      <c r="J81" s="94"/>
      <c r="K81" s="92"/>
      <c r="L81" s="92"/>
      <c r="M81" s="92"/>
      <c r="N81" s="92"/>
      <c r="O81" s="96"/>
      <c r="P81" s="88"/>
    </row>
    <row r="82" spans="1:16">
      <c r="A82" s="88"/>
      <c r="B82" s="139"/>
      <c r="C82" s="139"/>
      <c r="D82" s="139"/>
      <c r="E82" s="139"/>
      <c r="F82" s="139"/>
      <c r="G82" s="139"/>
      <c r="H82" s="88"/>
      <c r="I82" s="88"/>
      <c r="J82" s="139" t="s">
        <v>7</v>
      </c>
      <c r="K82" s="139"/>
      <c r="L82" s="139"/>
      <c r="M82" s="139"/>
      <c r="N82" s="139"/>
      <c r="O82" s="139"/>
      <c r="P82" s="88"/>
    </row>
    <row r="83" spans="1:16" ht="20.25">
      <c r="A83" s="88"/>
      <c r="B83" s="94"/>
      <c r="C83" s="92"/>
      <c r="D83" s="92"/>
      <c r="E83" s="92"/>
      <c r="F83" s="92"/>
      <c r="G83" s="96"/>
      <c r="H83" s="88"/>
      <c r="I83" s="91"/>
      <c r="J83" s="94"/>
      <c r="K83" s="92"/>
      <c r="L83" s="92"/>
      <c r="M83" s="92"/>
      <c r="N83" s="92"/>
      <c r="O83" s="96"/>
      <c r="P83" s="88"/>
    </row>
    <row r="84" spans="1:16" ht="35.25" customHeight="1">
      <c r="A84" s="88"/>
      <c r="B84" s="99"/>
      <c r="C84" s="140"/>
      <c r="D84" s="140"/>
      <c r="E84" s="140"/>
      <c r="F84" s="140"/>
      <c r="G84" s="140"/>
      <c r="H84" s="88"/>
      <c r="I84" s="91"/>
      <c r="J84" s="99">
        <v>7.1</v>
      </c>
      <c r="K84" s="140" t="s">
        <v>35</v>
      </c>
      <c r="L84" s="140"/>
      <c r="M84" s="140"/>
      <c r="N84" s="140"/>
      <c r="O84" s="140"/>
      <c r="P84" s="88"/>
    </row>
    <row r="85" spans="1:16" ht="20.25">
      <c r="A85" s="88"/>
      <c r="B85" s="94"/>
      <c r="C85" s="92"/>
      <c r="D85" s="92"/>
      <c r="E85" s="92"/>
      <c r="F85" s="92"/>
      <c r="G85" s="96"/>
      <c r="H85" s="88"/>
      <c r="I85" s="91"/>
      <c r="J85" s="94"/>
      <c r="K85" s="92"/>
      <c r="L85" s="92"/>
      <c r="M85" s="92"/>
      <c r="N85" s="92"/>
      <c r="O85" s="96"/>
      <c r="P85" s="88"/>
    </row>
    <row r="86" spans="1:16" ht="33.75" customHeight="1">
      <c r="A86" s="88"/>
      <c r="B86" s="99"/>
      <c r="C86" s="140"/>
      <c r="D86" s="140"/>
      <c r="E86" s="140"/>
      <c r="F86" s="140"/>
      <c r="G86" s="140"/>
      <c r="H86" s="88"/>
      <c r="I86" s="91"/>
      <c r="J86" s="99">
        <v>7.2</v>
      </c>
      <c r="K86" s="140" t="s">
        <v>36</v>
      </c>
      <c r="L86" s="140"/>
      <c r="M86" s="140"/>
      <c r="N86" s="140"/>
      <c r="O86" s="140"/>
      <c r="P86" s="88"/>
    </row>
    <row r="87" spans="1:16" ht="20.25">
      <c r="A87" s="88"/>
      <c r="B87" s="91"/>
      <c r="C87" s="92"/>
      <c r="D87" s="92"/>
      <c r="E87" s="92"/>
      <c r="F87" s="92"/>
      <c r="G87" s="96"/>
      <c r="H87" s="88"/>
      <c r="I87" s="91"/>
      <c r="J87" s="91"/>
      <c r="K87" s="92"/>
      <c r="L87" s="92"/>
      <c r="M87" s="92"/>
      <c r="N87" s="92"/>
      <c r="O87" s="96"/>
      <c r="P87" s="88"/>
    </row>
    <row r="88" spans="1:16">
      <c r="A88" s="88"/>
      <c r="B88" s="94"/>
      <c r="C88" s="92"/>
      <c r="D88" s="92"/>
      <c r="E88" s="92"/>
      <c r="F88" s="92"/>
      <c r="G88" s="96"/>
      <c r="H88" s="88"/>
      <c r="I88" s="88"/>
      <c r="J88" s="94"/>
      <c r="K88" s="92"/>
      <c r="L88" s="92"/>
      <c r="M88" s="92"/>
      <c r="N88" s="92"/>
      <c r="O88" s="96"/>
      <c r="P88" s="88"/>
    </row>
    <row r="89" spans="1:16" ht="20.25">
      <c r="A89" s="88"/>
      <c r="B89" s="139"/>
      <c r="C89" s="139"/>
      <c r="D89" s="139"/>
      <c r="E89" s="139"/>
      <c r="F89" s="139"/>
      <c r="G89" s="139"/>
      <c r="H89" s="88"/>
      <c r="I89" s="91"/>
      <c r="J89" s="139" t="s">
        <v>8</v>
      </c>
      <c r="K89" s="139"/>
      <c r="L89" s="139"/>
      <c r="M89" s="139"/>
      <c r="N89" s="139"/>
      <c r="O89" s="139"/>
      <c r="P89" s="88"/>
    </row>
    <row r="90" spans="1:16" ht="20.25">
      <c r="A90" s="88"/>
      <c r="B90" s="94"/>
      <c r="C90" s="92"/>
      <c r="D90" s="92"/>
      <c r="E90" s="92"/>
      <c r="F90" s="92"/>
      <c r="G90" s="96"/>
      <c r="H90" s="88"/>
      <c r="I90" s="91"/>
      <c r="J90" s="88"/>
      <c r="K90" s="88"/>
      <c r="L90" s="88"/>
      <c r="M90" s="88"/>
      <c r="N90" s="88"/>
      <c r="O90" s="88"/>
      <c r="P90" s="88"/>
    </row>
    <row r="91" spans="1:16" ht="27" customHeight="1">
      <c r="A91" s="88"/>
      <c r="B91" s="99"/>
      <c r="C91" s="140"/>
      <c r="D91" s="140"/>
      <c r="E91" s="140"/>
      <c r="F91" s="140"/>
      <c r="G91" s="140"/>
      <c r="H91" s="88"/>
      <c r="I91" s="91"/>
      <c r="J91" s="99">
        <v>7.1</v>
      </c>
      <c r="K91" s="140" t="s">
        <v>37</v>
      </c>
      <c r="L91" s="140"/>
      <c r="M91" s="140"/>
      <c r="N91" s="140"/>
      <c r="O91" s="140"/>
      <c r="P91" s="88"/>
    </row>
    <row r="92" spans="1:16" ht="20.25">
      <c r="A92" s="88"/>
      <c r="B92" s="94"/>
      <c r="C92" s="92"/>
      <c r="D92" s="92"/>
      <c r="E92" s="92"/>
      <c r="F92" s="92"/>
      <c r="G92" s="96"/>
      <c r="H92" s="88"/>
      <c r="I92" s="91"/>
      <c r="J92" s="88"/>
      <c r="K92" s="88"/>
      <c r="L92" s="88"/>
      <c r="M92" s="88"/>
      <c r="N92" s="88"/>
      <c r="O92" s="88"/>
      <c r="P92" s="88"/>
    </row>
    <row r="93" spans="1:16" ht="37.5" customHeight="1">
      <c r="A93" s="88"/>
      <c r="B93" s="99"/>
      <c r="C93" s="140"/>
      <c r="D93" s="140"/>
      <c r="E93" s="140"/>
      <c r="F93" s="140"/>
      <c r="G93" s="140"/>
      <c r="H93" s="88"/>
      <c r="I93" s="91"/>
      <c r="J93" s="99">
        <v>7.2</v>
      </c>
      <c r="K93" s="140" t="s">
        <v>38</v>
      </c>
      <c r="L93" s="140"/>
      <c r="M93" s="140"/>
      <c r="N93" s="140"/>
      <c r="O93" s="140"/>
      <c r="P93" s="88"/>
    </row>
    <row r="94" spans="1:16" ht="20.25">
      <c r="A94" s="88"/>
      <c r="B94" s="94"/>
      <c r="C94" s="92"/>
      <c r="D94" s="92"/>
      <c r="E94" s="92"/>
      <c r="F94" s="92"/>
      <c r="G94" s="96"/>
      <c r="H94" s="88"/>
      <c r="I94" s="91"/>
      <c r="J94" s="88"/>
      <c r="K94" s="88"/>
      <c r="L94" s="88"/>
      <c r="M94" s="88"/>
      <c r="N94" s="88"/>
      <c r="O94" s="88"/>
      <c r="P94" s="88"/>
    </row>
    <row r="95" spans="1:16" ht="20.25">
      <c r="A95" s="88"/>
      <c r="B95" s="99"/>
      <c r="C95" s="140"/>
      <c r="D95" s="140"/>
      <c r="E95" s="140"/>
      <c r="F95" s="140"/>
      <c r="G95" s="140"/>
      <c r="H95" s="88"/>
      <c r="I95" s="91"/>
      <c r="J95" s="99">
        <v>7.3</v>
      </c>
      <c r="K95" s="140" t="s">
        <v>39</v>
      </c>
      <c r="L95" s="140"/>
      <c r="M95" s="140"/>
      <c r="N95" s="140"/>
      <c r="O95" s="140"/>
      <c r="P95" s="88"/>
    </row>
    <row r="96" spans="1:16" ht="20.25">
      <c r="A96" s="88"/>
      <c r="B96" s="94"/>
      <c r="C96" s="92"/>
      <c r="D96" s="92"/>
      <c r="E96" s="92"/>
      <c r="F96" s="92"/>
      <c r="G96" s="96"/>
      <c r="H96" s="88"/>
      <c r="I96" s="91"/>
      <c r="J96" s="88"/>
      <c r="K96" s="88"/>
      <c r="L96" s="88"/>
      <c r="M96" s="88"/>
      <c r="N96" s="88"/>
      <c r="O96" s="88"/>
      <c r="P96" s="88"/>
    </row>
    <row r="97" spans="1:16" ht="20.25">
      <c r="A97" s="88"/>
      <c r="B97" s="99"/>
      <c r="C97" s="140"/>
      <c r="D97" s="140"/>
      <c r="E97" s="140"/>
      <c r="F97" s="140"/>
      <c r="G97" s="140"/>
      <c r="H97" s="88"/>
      <c r="I97" s="91"/>
      <c r="J97" s="99">
        <v>7.4</v>
      </c>
      <c r="K97" s="140" t="s">
        <v>40</v>
      </c>
      <c r="L97" s="140"/>
      <c r="M97" s="140"/>
      <c r="N97" s="140"/>
      <c r="O97" s="140"/>
      <c r="P97" s="88"/>
    </row>
    <row r="98" spans="1:16" ht="20.25">
      <c r="A98" s="88"/>
      <c r="B98" s="94"/>
      <c r="C98" s="92"/>
      <c r="D98" s="92"/>
      <c r="E98" s="92"/>
      <c r="F98" s="92"/>
      <c r="G98" s="96"/>
      <c r="H98" s="88"/>
      <c r="I98" s="91"/>
      <c r="J98" s="88"/>
      <c r="K98" s="88"/>
      <c r="L98" s="88"/>
      <c r="M98" s="88"/>
      <c r="N98" s="88"/>
      <c r="O98" s="88"/>
      <c r="P98" s="88"/>
    </row>
    <row r="99" spans="1:16" ht="20.25">
      <c r="A99" s="88"/>
      <c r="B99" s="99"/>
      <c r="C99" s="140"/>
      <c r="D99" s="140"/>
      <c r="E99" s="140"/>
      <c r="F99" s="140"/>
      <c r="G99" s="140"/>
      <c r="H99" s="88"/>
      <c r="I99" s="91"/>
      <c r="J99" s="99">
        <v>7.5</v>
      </c>
      <c r="K99" s="140" t="s">
        <v>41</v>
      </c>
      <c r="L99" s="140"/>
      <c r="M99" s="140"/>
      <c r="N99" s="140"/>
      <c r="O99" s="140"/>
      <c r="P99" s="88"/>
    </row>
    <row r="100" spans="1:16" ht="20.25">
      <c r="A100" s="88"/>
      <c r="B100" s="94"/>
      <c r="C100" s="92"/>
      <c r="D100" s="92"/>
      <c r="E100" s="92"/>
      <c r="F100" s="92"/>
      <c r="G100" s="96"/>
      <c r="H100" s="88"/>
      <c r="I100" s="91"/>
      <c r="J100" s="88"/>
      <c r="K100" s="88"/>
      <c r="L100" s="88"/>
      <c r="M100" s="88"/>
      <c r="N100" s="88"/>
      <c r="O100" s="88"/>
      <c r="P100" s="88"/>
    </row>
    <row r="101" spans="1:16" ht="20.25">
      <c r="A101" s="88"/>
      <c r="B101" s="99"/>
      <c r="C101" s="140"/>
      <c r="D101" s="140"/>
      <c r="E101" s="140"/>
      <c r="F101" s="140"/>
      <c r="G101" s="140"/>
      <c r="H101" s="88"/>
      <c r="I101" s="91"/>
      <c r="J101" s="99">
        <v>7.6</v>
      </c>
      <c r="K101" s="140" t="s">
        <v>42</v>
      </c>
      <c r="L101" s="140"/>
      <c r="M101" s="140"/>
      <c r="N101" s="140"/>
      <c r="O101" s="140"/>
      <c r="P101" s="88"/>
    </row>
  </sheetData>
  <mergeCells count="83">
    <mergeCell ref="C99:G99"/>
    <mergeCell ref="K99:O99"/>
    <mergeCell ref="C101:G101"/>
    <mergeCell ref="K101:O101"/>
    <mergeCell ref="B89:G89"/>
    <mergeCell ref="C91:G91"/>
    <mergeCell ref="J89:O89"/>
    <mergeCell ref="K91:O91"/>
    <mergeCell ref="C93:G93"/>
    <mergeCell ref="K93:O93"/>
    <mergeCell ref="C95:G95"/>
    <mergeCell ref="K95:O95"/>
    <mergeCell ref="C97:G97"/>
    <mergeCell ref="K97:O97"/>
    <mergeCell ref="B77:G77"/>
    <mergeCell ref="C79:G79"/>
    <mergeCell ref="B82:G82"/>
    <mergeCell ref="C84:G84"/>
    <mergeCell ref="C86:G86"/>
    <mergeCell ref="K86:O86"/>
    <mergeCell ref="J82:O82"/>
    <mergeCell ref="K84:O84"/>
    <mergeCell ref="J77:O77"/>
    <mergeCell ref="K79:O79"/>
    <mergeCell ref="C75:G75"/>
    <mergeCell ref="K75:O75"/>
    <mergeCell ref="C69:G69"/>
    <mergeCell ref="K69:O69"/>
    <mergeCell ref="B67:G67"/>
    <mergeCell ref="J67:O67"/>
    <mergeCell ref="C63:G63"/>
    <mergeCell ref="K63:O63"/>
    <mergeCell ref="C65:G65"/>
    <mergeCell ref="K65:O65"/>
    <mergeCell ref="B51:G51"/>
    <mergeCell ref="J51:O51"/>
    <mergeCell ref="C53:G53"/>
    <mergeCell ref="K53:O53"/>
    <mergeCell ref="C55:G55"/>
    <mergeCell ref="K55:O55"/>
    <mergeCell ref="C57:G57"/>
    <mergeCell ref="K57:O57"/>
    <mergeCell ref="C59:G59"/>
    <mergeCell ref="K59:O59"/>
    <mergeCell ref="C61:G61"/>
    <mergeCell ref="K61:O61"/>
    <mergeCell ref="C44:G44"/>
    <mergeCell ref="K44:O44"/>
    <mergeCell ref="C46:G46"/>
    <mergeCell ref="K46:O46"/>
    <mergeCell ref="C48:G48"/>
    <mergeCell ref="K48:O48"/>
    <mergeCell ref="C40:G40"/>
    <mergeCell ref="K40:O40"/>
    <mergeCell ref="C42:G42"/>
    <mergeCell ref="K42:O42"/>
    <mergeCell ref="C32:G32"/>
    <mergeCell ref="K32:O32"/>
    <mergeCell ref="B34:G34"/>
    <mergeCell ref="J34:O34"/>
    <mergeCell ref="C36:G36"/>
    <mergeCell ref="K36:O36"/>
    <mergeCell ref="B17:G17"/>
    <mergeCell ref="J17:O17"/>
    <mergeCell ref="B71:G71"/>
    <mergeCell ref="C73:G73"/>
    <mergeCell ref="C19:G19"/>
    <mergeCell ref="K19:O19"/>
    <mergeCell ref="B21:G21"/>
    <mergeCell ref="J21:O21"/>
    <mergeCell ref="C23:G23"/>
    <mergeCell ref="K23:O23"/>
    <mergeCell ref="C29:G29"/>
    <mergeCell ref="K29:O29"/>
    <mergeCell ref="B26:G26"/>
    <mergeCell ref="J26:O26"/>
    <mergeCell ref="C38:G38"/>
    <mergeCell ref="K38:O38"/>
    <mergeCell ref="A1:P8"/>
    <mergeCell ref="B10:O10"/>
    <mergeCell ref="B11:O13"/>
    <mergeCell ref="C15:G15"/>
    <mergeCell ref="K15:O15"/>
  </mergeCells>
  <hyperlinks>
    <hyperlink ref="B19" location="'Cuadro 1.1'!A1" display="'Cuadro 1.1'!A1" xr:uid="{00000000-0004-0000-0000-000000000000}"/>
    <hyperlink ref="B23" location="'Gráfico 1.1'!A1" display="'Gráfico 1.1'!A1" xr:uid="{00000000-0004-0000-0000-000001000000}"/>
    <hyperlink ref="B36" location="'Cuadro 5.1'!A1" display="'Cuadro 5.1'!A1" xr:uid="{00000000-0004-0000-0000-000002000000}"/>
    <hyperlink ref="B53" location="'Gráfico 5.1'!A1" display="'Gráfico 5.1'!A1" xr:uid="{00000000-0004-0000-0000-000003000000}"/>
    <hyperlink ref="B69" location="'Tabla 5.3'!A1" display="'Tabla 5.3'!A1" xr:uid="{00000000-0004-0000-0000-000004000000}"/>
    <hyperlink ref="B38" location="'Cuadro 5.2'!A1" display="'Cuadro 5.2'!A1" xr:uid="{00000000-0004-0000-0000-000005000000}"/>
    <hyperlink ref="B40" location="'Cuadro 5.3'!A1" display="'Cuadro 5.3'!A1" xr:uid="{00000000-0004-0000-0000-000006000000}"/>
    <hyperlink ref="B42" location="'Cuadro 5.4'!A1" display="'Cuadro 5.4'!A1" xr:uid="{00000000-0004-0000-0000-000007000000}"/>
    <hyperlink ref="B44" location="'Cuadro 5.5'!A1" display="'Cuadro 5.5'!A1" xr:uid="{00000000-0004-0000-0000-000008000000}"/>
    <hyperlink ref="B55" location="'Gráfico 5.2'!A1" display="'Gráfico 5.2'!A1" xr:uid="{00000000-0004-0000-0000-000009000000}"/>
    <hyperlink ref="B57" location="'Gráfico 5.3 '!A1" display="'Gráfico 5.3 '!A1" xr:uid="{00000000-0004-0000-0000-00000A000000}"/>
    <hyperlink ref="B59" location="'Gráfico 5.4'!A1" display="'Gráfico 5.4'!A1" xr:uid="{00000000-0004-0000-0000-00000B000000}"/>
    <hyperlink ref="J36" location="'Cuadro 6.1'!A1" display="'Cuadro 6.1'!A1" xr:uid="{00000000-0004-0000-0000-00000C000000}"/>
    <hyperlink ref="J53" location="'Gráfico 6.1'!A1" display="'Gráfico 6.1'!A1" xr:uid="{00000000-0004-0000-0000-00000D000000}"/>
    <hyperlink ref="J38" location="'Cuadro 6.2'!A1" display="'Cuadro 6.2'!A1" xr:uid="{00000000-0004-0000-0000-00000E000000}"/>
    <hyperlink ref="J40" location="'Cuadro 6.3'!A1" display="'Cuadro 6.3'!A1" xr:uid="{00000000-0004-0000-0000-00000F000000}"/>
    <hyperlink ref="J42" location="'Cuadro 6.4'!A1" display="'Cuadro 6.4'!A1" xr:uid="{00000000-0004-0000-0000-000010000000}"/>
    <hyperlink ref="J44" location="'Cuadro 6.5'!A1" display="'Cuadro 6.5'!A1" xr:uid="{00000000-0004-0000-0000-000011000000}"/>
    <hyperlink ref="J46" location="'Cuadro 6.6'!A1" display="'Cuadro 6.6'!A1" xr:uid="{00000000-0004-0000-0000-000012000000}"/>
    <hyperlink ref="J48" location="'Cuadro 6.7'!A1" display="'Cuadro 6.7'!A1" xr:uid="{00000000-0004-0000-0000-000013000000}"/>
    <hyperlink ref="J55" location="'Gráfico 6.2'!A1" display="'Gráfico 6.2'!A1" xr:uid="{00000000-0004-0000-0000-000014000000}"/>
    <hyperlink ref="J57" location="'Gráfico 6.3'!A1" display="'Gráfico 6.3'!A1" xr:uid="{00000000-0004-0000-0000-000015000000}"/>
    <hyperlink ref="J59" location="'Gráfico 6.4'!A1" display="'Gráfico 6.4'!A1" xr:uid="{00000000-0004-0000-0000-000016000000}"/>
    <hyperlink ref="J61" location="'Gráfico 6.5'!A1" display="'Gráfico 6.5'!A1" xr:uid="{00000000-0004-0000-0000-000017000000}"/>
    <hyperlink ref="J63" location="'Gráfico 6.6'!A1" display="'Gráfico 6.6'!A1" xr:uid="{00000000-0004-0000-0000-000018000000}"/>
    <hyperlink ref="J65" location="'Gráfico 6.7'!A1" display="'Gráfico 6.7'!A1" xr:uid="{00000000-0004-0000-0000-000019000000}"/>
    <hyperlink ref="B73" location="'Mapa 5.1'!A1" display="'Mapa 5.1'!A1" xr:uid="{00000000-0004-0000-0000-00001A000000}"/>
    <hyperlink ref="J69" location="'Tabla 6.3'!A1" display="'Tabla 6.3'!A1" xr:uid="{00000000-0004-0000-0000-00001B000000}"/>
    <hyperlink ref="J79" location="'Cuadro 7.1'!A1" display="'Cuadro 7.1'!A1" xr:uid="{00000000-0004-0000-0000-00001C000000}"/>
    <hyperlink ref="J84" location="'Gráfico 7.1'!A1" display="'Gráfico 7.1'!A1" xr:uid="{00000000-0004-0000-0000-00001D000000}"/>
    <hyperlink ref="J86" location="'Gráfico 7.2'!A1" display="'Gráfico 7.2'!A1" xr:uid="{00000000-0004-0000-0000-00001E000000}"/>
    <hyperlink ref="J91" location="'Tabla 7.1'!A1" display="'Tabla 7.1'!A1" xr:uid="{00000000-0004-0000-0000-00001F000000}"/>
    <hyperlink ref="J93" location="'Tabla 7.2'!A1" display="'Tabla 7.2'!A1" xr:uid="{00000000-0004-0000-0000-000020000000}"/>
    <hyperlink ref="J95" location="'Tabla 7.3'!A1" display="'Tabla 7.3'!A1" xr:uid="{00000000-0004-0000-0000-000021000000}"/>
    <hyperlink ref="J97" location="'Tabla 7.4'!A1" display="'Tabla 7.4'!A1" xr:uid="{00000000-0004-0000-0000-000022000000}"/>
    <hyperlink ref="J99" location="'Tabla 7.5'!A1" display="'Tabla 7.5'!A1" xr:uid="{00000000-0004-0000-0000-000023000000}"/>
    <hyperlink ref="J101" location="'Tabla 7.6'!A1" display="'Tabla 7.6'!A1" xr:uid="{00000000-0004-0000-0000-000024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29C5D1"/>
  </sheetPr>
  <dimension ref="A1:P17"/>
  <sheetViews>
    <sheetView topLeftCell="A3" workbookViewId="0">
      <selection activeCell="A17" sqref="A17"/>
    </sheetView>
  </sheetViews>
  <sheetFormatPr defaultColWidth="9.140625" defaultRowHeight="15"/>
  <cols>
    <col min="1" max="1" width="17.28515625" customWidth="1"/>
    <col min="2" max="2" width="28" customWidth="1"/>
  </cols>
  <sheetData>
    <row r="1" spans="1:16" ht="18.75">
      <c r="A1" s="13" t="s">
        <v>87</v>
      </c>
      <c r="B1" s="13"/>
      <c r="C1" s="13"/>
      <c r="D1" s="13"/>
      <c r="E1" s="13"/>
      <c r="F1" s="13"/>
      <c r="G1" s="13"/>
      <c r="P1" s="103" t="s">
        <v>44</v>
      </c>
    </row>
    <row r="3" spans="1:16" ht="30">
      <c r="A3" s="43" t="s">
        <v>88</v>
      </c>
      <c r="B3" s="22" t="s">
        <v>89</v>
      </c>
    </row>
    <row r="4" spans="1:16">
      <c r="A4" s="19" t="s">
        <v>90</v>
      </c>
      <c r="B4" s="1">
        <v>1</v>
      </c>
    </row>
    <row r="5" spans="1:16">
      <c r="A5" s="19" t="s">
        <v>91</v>
      </c>
      <c r="B5" s="1">
        <v>1</v>
      </c>
    </row>
    <row r="6" spans="1:16">
      <c r="A6" s="19" t="s">
        <v>91</v>
      </c>
      <c r="B6" s="1">
        <v>1</v>
      </c>
    </row>
    <row r="7" spans="1:16">
      <c r="A7" s="19" t="s">
        <v>92</v>
      </c>
      <c r="B7" s="1">
        <v>1</v>
      </c>
    </row>
    <row r="8" spans="1:16">
      <c r="A8" s="19" t="s">
        <v>93</v>
      </c>
      <c r="B8" s="1">
        <v>2</v>
      </c>
    </row>
    <row r="9" spans="1:16">
      <c r="A9" s="19" t="s">
        <v>94</v>
      </c>
      <c r="B9" s="1">
        <v>2</v>
      </c>
    </row>
    <row r="10" spans="1:16">
      <c r="A10" s="19" t="s">
        <v>95</v>
      </c>
      <c r="B10" s="1">
        <v>2</v>
      </c>
    </row>
    <row r="11" spans="1:16">
      <c r="A11" s="19" t="s">
        <v>96</v>
      </c>
      <c r="B11" s="1">
        <v>2</v>
      </c>
    </row>
    <row r="12" spans="1:16">
      <c r="A12" s="19" t="s">
        <v>97</v>
      </c>
      <c r="B12" s="1">
        <v>3</v>
      </c>
    </row>
    <row r="13" spans="1:16">
      <c r="A13" s="19" t="s">
        <v>98</v>
      </c>
      <c r="B13" s="1">
        <v>3</v>
      </c>
    </row>
    <row r="14" spans="1:16">
      <c r="A14" s="19" t="s">
        <v>99</v>
      </c>
      <c r="B14" s="1">
        <v>4</v>
      </c>
    </row>
    <row r="15" spans="1:16">
      <c r="A15" s="23" t="s">
        <v>100</v>
      </c>
      <c r="B15" s="44">
        <v>5</v>
      </c>
    </row>
    <row r="17" spans="1:1">
      <c r="A17" t="s">
        <v>101</v>
      </c>
    </row>
  </sheetData>
  <hyperlinks>
    <hyperlink ref="P1" location="Índice!A1" display="Volver al índice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29E6D1"/>
  </sheetPr>
  <dimension ref="A1:S1"/>
  <sheetViews>
    <sheetView workbookViewId="0"/>
  </sheetViews>
  <sheetFormatPr defaultColWidth="9.140625" defaultRowHeight="15"/>
  <sheetData>
    <row r="1" spans="1:19" ht="18.75">
      <c r="A1" s="13" t="s">
        <v>102</v>
      </c>
      <c r="S1" s="103" t="s">
        <v>44</v>
      </c>
    </row>
  </sheetData>
  <hyperlinks>
    <hyperlink ref="S1" location="Índice!A1" display="Volver al índice" xr:uid="{00000000-0004-0000-0A00-000000000000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29C5D1"/>
  </sheetPr>
  <dimension ref="A1:S11"/>
  <sheetViews>
    <sheetView workbookViewId="0">
      <selection activeCell="A11" sqref="A11"/>
    </sheetView>
  </sheetViews>
  <sheetFormatPr defaultColWidth="9.140625" defaultRowHeight="15"/>
  <sheetData>
    <row r="1" spans="1:19" ht="18.75">
      <c r="A1" s="13" t="s">
        <v>103</v>
      </c>
      <c r="S1" s="103" t="s">
        <v>44</v>
      </c>
    </row>
    <row r="3" spans="1:19">
      <c r="A3" s="32" t="s">
        <v>104</v>
      </c>
      <c r="B3" s="33" t="s">
        <v>105</v>
      </c>
    </row>
    <row r="4" spans="1:19">
      <c r="A4" s="19" t="s">
        <v>106</v>
      </c>
      <c r="B4">
        <v>5</v>
      </c>
    </row>
    <row r="5" spans="1:19">
      <c r="A5" s="19" t="s">
        <v>107</v>
      </c>
      <c r="B5">
        <v>5</v>
      </c>
    </row>
    <row r="6" spans="1:19">
      <c r="A6" s="19" t="s">
        <v>108</v>
      </c>
      <c r="B6">
        <v>2</v>
      </c>
    </row>
    <row r="7" spans="1:19">
      <c r="A7" s="19" t="s">
        <v>109</v>
      </c>
      <c r="B7">
        <v>9</v>
      </c>
    </row>
    <row r="8" spans="1:19">
      <c r="A8" s="19" t="s">
        <v>110</v>
      </c>
      <c r="B8">
        <v>4</v>
      </c>
    </row>
    <row r="9" spans="1:19">
      <c r="A9" s="23" t="s">
        <v>111</v>
      </c>
      <c r="B9" s="31">
        <v>2</v>
      </c>
    </row>
    <row r="11" spans="1:19">
      <c r="A11" t="s">
        <v>79</v>
      </c>
    </row>
  </sheetData>
  <hyperlinks>
    <hyperlink ref="S1" location="Índice!A1" display="Volver al índice" xr:uid="{00000000-0004-0000-0B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1"/>
  <sheetViews>
    <sheetView workbookViewId="0">
      <selection activeCell="A2" sqref="A2"/>
    </sheetView>
  </sheetViews>
  <sheetFormatPr defaultColWidth="9.140625" defaultRowHeight="15"/>
  <sheetData>
    <row r="1" spans="1:19" ht="18.75">
      <c r="A1" s="13" t="s">
        <v>112</v>
      </c>
      <c r="S1" s="103" t="s">
        <v>44</v>
      </c>
    </row>
  </sheetData>
  <hyperlinks>
    <hyperlink ref="S1" location="Índice!A1" display="Volver al índice" xr:uid="{00000000-0004-0000-0C00-00000000000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40A682"/>
  </sheetPr>
  <dimension ref="A1:O23"/>
  <sheetViews>
    <sheetView topLeftCell="A15" workbookViewId="0">
      <selection activeCell="A23" sqref="A23"/>
    </sheetView>
  </sheetViews>
  <sheetFormatPr defaultColWidth="9.140625" defaultRowHeight="15"/>
  <cols>
    <col min="1" max="1" width="23.5703125" customWidth="1"/>
    <col min="2" max="2" width="18.28515625" customWidth="1"/>
    <col min="3" max="3" width="15.140625" customWidth="1"/>
    <col min="4" max="4" width="16" customWidth="1"/>
    <col min="5" max="5" width="14.7109375" customWidth="1"/>
    <col min="6" max="6" width="13.5703125" customWidth="1"/>
  </cols>
  <sheetData>
    <row r="1" spans="1:15" ht="18.75">
      <c r="A1" s="13" t="s">
        <v>113</v>
      </c>
    </row>
    <row r="2" spans="1:15">
      <c r="O2" s="103" t="s">
        <v>44</v>
      </c>
    </row>
    <row r="3" spans="1:15" ht="40.5" customHeight="1">
      <c r="A3" s="60" t="s">
        <v>114</v>
      </c>
      <c r="B3" s="61" t="s">
        <v>115</v>
      </c>
      <c r="C3" s="61" t="s">
        <v>116</v>
      </c>
      <c r="D3" s="61" t="s">
        <v>117</v>
      </c>
      <c r="E3" s="61" t="s">
        <v>118</v>
      </c>
      <c r="F3" s="62" t="s">
        <v>119</v>
      </c>
    </row>
    <row r="4" spans="1:15">
      <c r="A4" s="45" t="s">
        <v>120</v>
      </c>
      <c r="B4" s="46">
        <v>2366.0300000000002</v>
      </c>
      <c r="C4" s="46">
        <v>5.7963370358212037E-2</v>
      </c>
      <c r="D4" s="47">
        <v>511196</v>
      </c>
      <c r="E4" s="48">
        <v>4.628420410175354E-3</v>
      </c>
      <c r="F4" s="49">
        <v>2.6827884640850171E-4</v>
      </c>
    </row>
    <row r="5" spans="1:15">
      <c r="A5" s="45" t="s">
        <v>121</v>
      </c>
      <c r="B5" s="46">
        <v>102.08</v>
      </c>
      <c r="C5" s="46">
        <v>2.500771691891601E-3</v>
      </c>
      <c r="D5" s="47">
        <v>1182</v>
      </c>
      <c r="E5" s="48">
        <v>8.6362098138747886E-2</v>
      </c>
      <c r="F5" s="49">
        <v>2.1597189027774505E-4</v>
      </c>
    </row>
    <row r="6" spans="1:15">
      <c r="A6" s="45" t="s">
        <v>122</v>
      </c>
      <c r="B6" s="46">
        <v>11439.87</v>
      </c>
      <c r="C6" s="46">
        <v>0.28025571174490566</v>
      </c>
      <c r="D6" s="47">
        <v>430122</v>
      </c>
      <c r="E6" s="48">
        <v>2.6596802767586872E-2</v>
      </c>
      <c r="F6" s="49">
        <v>7.453905889768935E-3</v>
      </c>
    </row>
    <row r="7" spans="1:15">
      <c r="A7" s="50" t="s">
        <v>123</v>
      </c>
      <c r="B7" s="46">
        <v>1450.6</v>
      </c>
      <c r="C7" s="46">
        <v>3.5537024062088127E-2</v>
      </c>
      <c r="D7" s="47">
        <v>13961</v>
      </c>
      <c r="E7" s="48">
        <v>0.10390373182436788</v>
      </c>
      <c r="F7" s="49">
        <v>3.692429417983313E-3</v>
      </c>
    </row>
    <row r="8" spans="1:15">
      <c r="A8" s="45" t="s">
        <v>124</v>
      </c>
      <c r="B8" s="46">
        <v>2592.14</v>
      </c>
      <c r="C8" s="46">
        <v>6.3502648250586741E-2</v>
      </c>
      <c r="D8" s="47">
        <v>159696</v>
      </c>
      <c r="E8" s="48">
        <v>1.6231715258992085E-2</v>
      </c>
      <c r="F8" s="49">
        <v>1.0307569045954559E-3</v>
      </c>
    </row>
    <row r="9" spans="1:15">
      <c r="A9" s="50" t="s">
        <v>125</v>
      </c>
      <c r="B9" s="46">
        <v>8199.3300000000017</v>
      </c>
      <c r="C9" s="46">
        <v>0.20086845960499181</v>
      </c>
      <c r="D9" s="47">
        <v>862164</v>
      </c>
      <c r="E9" s="48">
        <v>9.5101743983743246E-3</v>
      </c>
      <c r="F9" s="49">
        <v>1.9102940819762802E-3</v>
      </c>
    </row>
    <row r="10" spans="1:15">
      <c r="A10" s="50" t="s">
        <v>126</v>
      </c>
      <c r="B10" s="46">
        <v>4000.75</v>
      </c>
      <c r="C10" s="46">
        <v>9.8010994772093671E-2</v>
      </c>
      <c r="D10" s="47">
        <v>116918</v>
      </c>
      <c r="E10" s="48">
        <v>3.42184265895756E-2</v>
      </c>
      <c r="F10" s="49">
        <v>3.3537820295801652E-3</v>
      </c>
    </row>
    <row r="11" spans="1:15">
      <c r="A11" s="50" t="s">
        <v>127</v>
      </c>
      <c r="B11" s="46">
        <v>4641.13</v>
      </c>
      <c r="C11" s="46">
        <v>0.11369912345600378</v>
      </c>
      <c r="D11" s="47">
        <v>153308</v>
      </c>
      <c r="E11" s="48">
        <v>3.0273240796305476E-2</v>
      </c>
      <c r="F11" s="49">
        <v>3.4420409427124662E-3</v>
      </c>
    </row>
    <row r="12" spans="1:15">
      <c r="A12" s="50" t="s">
        <v>128</v>
      </c>
      <c r="B12" s="46">
        <v>2562.63</v>
      </c>
      <c r="C12" s="46">
        <v>6.277970768801111E-2</v>
      </c>
      <c r="D12" s="47">
        <v>111900</v>
      </c>
      <c r="E12" s="48">
        <v>2.2901072386058981E-2</v>
      </c>
      <c r="F12" s="49">
        <v>1.437722630138766E-3</v>
      </c>
    </row>
    <row r="13" spans="1:15">
      <c r="A13" s="50" t="s">
        <v>129</v>
      </c>
      <c r="B13" s="46">
        <v>2505.5299999999997</v>
      </c>
      <c r="C13" s="46">
        <v>6.1380863021014517E-2</v>
      </c>
      <c r="D13" s="50">
        <v>252994</v>
      </c>
      <c r="E13" s="48">
        <v>9.9035154983912656E-3</v>
      </c>
      <c r="F13" s="49">
        <v>6.0788632823324861E-4</v>
      </c>
    </row>
    <row r="14" spans="1:15">
      <c r="A14" s="50" t="s">
        <v>130</v>
      </c>
      <c r="B14" s="46">
        <v>959.31</v>
      </c>
      <c r="C14" s="46">
        <v>2.3501325350201132E-2</v>
      </c>
      <c r="D14" s="47">
        <v>138653</v>
      </c>
      <c r="E14" s="48">
        <v>6.9187828608108003E-3</v>
      </c>
      <c r="F14" s="49">
        <v>1.6260056703930998E-4</v>
      </c>
    </row>
    <row r="15" spans="1:15">
      <c r="A15" s="50" t="s">
        <v>49</v>
      </c>
      <c r="B15" s="51">
        <v>40819.399999999994</v>
      </c>
      <c r="C15" s="51">
        <v>1.0000000000000002</v>
      </c>
      <c r="D15" s="52">
        <v>2752094</v>
      </c>
      <c r="E15" s="53">
        <v>0.35144798092938656</v>
      </c>
      <c r="F15" s="54">
        <v>2.3575669528714188E-2</v>
      </c>
    </row>
    <row r="16" spans="1:15">
      <c r="A16" s="144" t="s">
        <v>131</v>
      </c>
      <c r="B16" s="144"/>
      <c r="C16" s="144"/>
      <c r="D16" s="144"/>
      <c r="E16" s="144"/>
      <c r="F16" s="55">
        <v>24979.19</v>
      </c>
    </row>
    <row r="17" spans="1:6">
      <c r="A17" s="145" t="s">
        <v>132</v>
      </c>
      <c r="B17" s="145"/>
      <c r="C17" s="145"/>
      <c r="D17" s="145"/>
      <c r="E17" s="145"/>
      <c r="F17" s="56">
        <v>1450.119663706321</v>
      </c>
    </row>
    <row r="18" spans="1:6">
      <c r="A18" s="144" t="s">
        <v>133</v>
      </c>
      <c r="B18" s="144"/>
      <c r="C18" s="144"/>
      <c r="D18" s="144"/>
      <c r="E18" s="144"/>
      <c r="F18" s="55">
        <f>F17*F15</f>
        <v>34.187541968630377</v>
      </c>
    </row>
    <row r="19" spans="1:6">
      <c r="A19" s="145" t="s">
        <v>134</v>
      </c>
      <c r="B19" s="145"/>
      <c r="C19" s="145"/>
      <c r="D19" s="145"/>
      <c r="E19" s="145"/>
      <c r="F19" s="57">
        <f>F18/F16</f>
        <v>1.368640935459892E-3</v>
      </c>
    </row>
    <row r="20" spans="1:6">
      <c r="A20" s="144" t="s">
        <v>135</v>
      </c>
      <c r="B20" s="144"/>
      <c r="C20" s="144"/>
      <c r="D20" s="144"/>
      <c r="E20" s="144"/>
      <c r="F20" s="58">
        <v>146516.00224247601</v>
      </c>
    </row>
    <row r="21" spans="1:6">
      <c r="A21" s="145" t="s">
        <v>136</v>
      </c>
      <c r="B21" s="145"/>
      <c r="C21" s="145"/>
      <c r="D21" s="145"/>
      <c r="E21" s="145"/>
      <c r="F21" s="59">
        <f>F20*F15</f>
        <v>3454.2128495369611</v>
      </c>
    </row>
    <row r="22" spans="1:6">
      <c r="A22" s="143" t="s">
        <v>137</v>
      </c>
      <c r="B22" s="143"/>
      <c r="C22" s="143"/>
      <c r="D22" s="143"/>
      <c r="E22" s="143"/>
      <c r="F22" s="63">
        <f>F21/F16</f>
        <v>0.13828362126782179</v>
      </c>
    </row>
    <row r="23" spans="1:6">
      <c r="A23" t="s">
        <v>138</v>
      </c>
    </row>
  </sheetData>
  <mergeCells count="7">
    <mergeCell ref="A22:E22"/>
    <mergeCell ref="A16:E16"/>
    <mergeCell ref="A17:E17"/>
    <mergeCell ref="A18:E18"/>
    <mergeCell ref="A19:E19"/>
    <mergeCell ref="A20:E20"/>
    <mergeCell ref="A21:E21"/>
  </mergeCells>
  <hyperlinks>
    <hyperlink ref="O2" location="Índice!A1" display="Volver al índice" xr:uid="{00000000-0004-0000-0D00-00000000000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29C5D1"/>
  </sheetPr>
  <dimension ref="A1:P12"/>
  <sheetViews>
    <sheetView workbookViewId="0">
      <selection activeCell="P1" sqref="P1"/>
    </sheetView>
  </sheetViews>
  <sheetFormatPr defaultColWidth="9.140625" defaultRowHeight="15"/>
  <cols>
    <col min="1" max="1" width="35.28515625" customWidth="1"/>
  </cols>
  <sheetData>
    <row r="1" spans="1:16" ht="18.75">
      <c r="A1" s="13" t="s">
        <v>139</v>
      </c>
      <c r="P1" s="103" t="s">
        <v>44</v>
      </c>
    </row>
    <row r="3" spans="1:16">
      <c r="A3" s="32" t="s">
        <v>140</v>
      </c>
      <c r="B3" s="33" t="s">
        <v>141</v>
      </c>
      <c r="C3" s="33" t="s">
        <v>142</v>
      </c>
    </row>
    <row r="4" spans="1:16">
      <c r="A4" s="19" t="s">
        <v>143</v>
      </c>
      <c r="B4">
        <v>75528</v>
      </c>
      <c r="C4">
        <v>67.430000000000007</v>
      </c>
    </row>
    <row r="5" spans="1:16">
      <c r="A5" s="19" t="s">
        <v>144</v>
      </c>
      <c r="B5">
        <v>2055</v>
      </c>
      <c r="C5">
        <v>1.83</v>
      </c>
    </row>
    <row r="6" spans="1:16">
      <c r="A6" s="19" t="s">
        <v>145</v>
      </c>
      <c r="B6">
        <v>1625</v>
      </c>
      <c r="C6">
        <v>1.45</v>
      </c>
    </row>
    <row r="7" spans="1:16">
      <c r="A7" s="19" t="s">
        <v>146</v>
      </c>
      <c r="B7">
        <v>430</v>
      </c>
      <c r="C7">
        <v>0.38</v>
      </c>
    </row>
    <row r="8" spans="1:16">
      <c r="A8" s="19" t="s">
        <v>147</v>
      </c>
      <c r="B8">
        <v>34426</v>
      </c>
      <c r="C8">
        <v>30.74</v>
      </c>
    </row>
    <row r="9" spans="1:16">
      <c r="A9" s="19" t="s">
        <v>148</v>
      </c>
      <c r="B9">
        <v>19153</v>
      </c>
      <c r="C9">
        <v>17.100000000000001</v>
      </c>
    </row>
    <row r="10" spans="1:16">
      <c r="A10" s="19" t="s">
        <v>149</v>
      </c>
      <c r="B10">
        <v>15273</v>
      </c>
      <c r="C10">
        <v>13.64</v>
      </c>
    </row>
    <row r="11" spans="1:16">
      <c r="A11" s="23" t="s">
        <v>49</v>
      </c>
      <c r="B11" s="31">
        <f>B4+B5+B8</f>
        <v>112009</v>
      </c>
      <c r="C11" s="31">
        <v>100</v>
      </c>
    </row>
    <row r="12" spans="1:16">
      <c r="A12" t="s">
        <v>150</v>
      </c>
    </row>
  </sheetData>
  <hyperlinks>
    <hyperlink ref="P1" location="Índice!A1" display="Volver al índice" xr:uid="{00000000-0004-0000-0E00-00000000000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18"/>
  <sheetViews>
    <sheetView workbookViewId="0">
      <selection activeCell="S1" sqref="S1"/>
    </sheetView>
  </sheetViews>
  <sheetFormatPr defaultColWidth="9.140625" defaultRowHeight="15"/>
  <sheetData>
    <row r="1" spans="1:19" ht="18.75">
      <c r="A1" s="13" t="s">
        <v>151</v>
      </c>
      <c r="S1" s="103" t="s">
        <v>44</v>
      </c>
    </row>
    <row r="18" spans="1:1">
      <c r="A18" t="s">
        <v>150</v>
      </c>
    </row>
  </sheetData>
  <hyperlinks>
    <hyperlink ref="S1" location="Índice!A1" display="Volver al índice" xr:uid="{00000000-0004-0000-0F00-000000000000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0A682"/>
  </sheetPr>
  <dimension ref="A1:Q64"/>
  <sheetViews>
    <sheetView topLeftCell="A53" workbookViewId="0">
      <selection activeCell="A64" sqref="A64"/>
    </sheetView>
  </sheetViews>
  <sheetFormatPr defaultColWidth="9.140625" defaultRowHeight="15"/>
  <cols>
    <col min="1" max="1" width="19.28515625" customWidth="1"/>
    <col min="3" max="3" width="13.7109375" customWidth="1"/>
    <col min="7" max="7" width="18.140625" customWidth="1"/>
  </cols>
  <sheetData>
    <row r="1" spans="1:17" ht="18.75">
      <c r="A1" s="13" t="s">
        <v>152</v>
      </c>
      <c r="Q1" s="103" t="s">
        <v>44</v>
      </c>
    </row>
    <row r="3" spans="1:17" ht="60">
      <c r="A3" s="21" t="s">
        <v>88</v>
      </c>
      <c r="B3" s="22" t="s">
        <v>53</v>
      </c>
      <c r="C3" s="22" t="s">
        <v>153</v>
      </c>
      <c r="D3" s="22" t="s">
        <v>154</v>
      </c>
      <c r="E3" s="22" t="s">
        <v>155</v>
      </c>
      <c r="F3" s="22" t="s">
        <v>156</v>
      </c>
      <c r="G3" s="22" t="s">
        <v>157</v>
      </c>
      <c r="H3" s="3"/>
    </row>
    <row r="4" spans="1:17">
      <c r="A4" s="146" t="s">
        <v>158</v>
      </c>
      <c r="B4" s="64">
        <v>2015</v>
      </c>
      <c r="C4" s="65">
        <v>1520637</v>
      </c>
      <c r="D4" s="65">
        <v>341032.14419999975</v>
      </c>
      <c r="E4" s="66">
        <f>D4/C4</f>
        <v>0.22426926623513682</v>
      </c>
      <c r="F4" s="67">
        <f>D4/C4*100000</f>
        <v>22426.926623513682</v>
      </c>
      <c r="G4" s="147">
        <f>AVERAGE(E4:E7)</f>
        <v>0.24007796862970565</v>
      </c>
    </row>
    <row r="5" spans="1:17">
      <c r="A5" s="146"/>
      <c r="B5" s="64">
        <v>2016</v>
      </c>
      <c r="C5" s="65">
        <v>1501940</v>
      </c>
      <c r="D5" s="65">
        <v>348880.00260000001</v>
      </c>
      <c r="E5" s="66">
        <f t="shared" ref="E5:E31" si="0">D5/C5</f>
        <v>0.23228624485665206</v>
      </c>
      <c r="F5" s="67">
        <f t="shared" ref="F5:F31" si="1">D5/C5*100000</f>
        <v>23228.624485665205</v>
      </c>
      <c r="G5" s="147"/>
    </row>
    <row r="6" spans="1:17">
      <c r="A6" s="146"/>
      <c r="B6" s="64">
        <v>2017</v>
      </c>
      <c r="C6" s="65">
        <v>1368051</v>
      </c>
      <c r="D6" s="65">
        <v>354341.44499999995</v>
      </c>
      <c r="E6" s="66">
        <f t="shared" si="0"/>
        <v>0.25901186797860604</v>
      </c>
      <c r="F6" s="67">
        <f t="shared" si="1"/>
        <v>25901.186797860602</v>
      </c>
      <c r="G6" s="147"/>
    </row>
    <row r="7" spans="1:17">
      <c r="A7" s="146"/>
      <c r="B7" s="64">
        <v>2018</v>
      </c>
      <c r="C7" s="65">
        <v>1469602</v>
      </c>
      <c r="D7" s="65">
        <v>359677.00000000029</v>
      </c>
      <c r="E7" s="66">
        <f t="shared" si="0"/>
        <v>0.24474449544842772</v>
      </c>
      <c r="F7" s="67">
        <f t="shared" si="1"/>
        <v>24474.449544842773</v>
      </c>
      <c r="G7" s="147"/>
    </row>
    <row r="8" spans="1:17">
      <c r="A8" s="146" t="s">
        <v>99</v>
      </c>
      <c r="B8" s="68">
        <v>2015</v>
      </c>
      <c r="C8" s="69">
        <v>92732</v>
      </c>
      <c r="D8" s="69">
        <v>10626.448258156121</v>
      </c>
      <c r="E8" s="70">
        <f t="shared" si="0"/>
        <v>0.11459310980196825</v>
      </c>
      <c r="F8" s="71">
        <f t="shared" si="1"/>
        <v>11459.310980196826</v>
      </c>
      <c r="G8" s="148">
        <f>AVERAGE(E8:E11)</f>
        <v>0.11878440692611171</v>
      </c>
    </row>
    <row r="9" spans="1:17">
      <c r="A9" s="146"/>
      <c r="B9" s="68">
        <v>2016</v>
      </c>
      <c r="C9" s="69">
        <v>92070</v>
      </c>
      <c r="D9" s="69">
        <v>10870.984917363321</v>
      </c>
      <c r="E9" s="70">
        <f t="shared" si="0"/>
        <v>0.11807304135291975</v>
      </c>
      <c r="F9" s="71">
        <f t="shared" si="1"/>
        <v>11807.304135291975</v>
      </c>
      <c r="G9" s="148"/>
    </row>
    <row r="10" spans="1:17">
      <c r="A10" s="146"/>
      <c r="B10" s="68">
        <v>2017</v>
      </c>
      <c r="C10" s="69">
        <v>91757</v>
      </c>
      <c r="D10" s="69">
        <v>11041.161647227427</v>
      </c>
      <c r="E10" s="70">
        <f t="shared" si="0"/>
        <v>0.12033045595679269</v>
      </c>
      <c r="F10" s="71">
        <f t="shared" si="1"/>
        <v>12033.045595679268</v>
      </c>
      <c r="G10" s="148"/>
    </row>
    <row r="11" spans="1:17">
      <c r="A11" s="146"/>
      <c r="B11" s="68">
        <v>2018</v>
      </c>
      <c r="C11" s="69">
        <v>91758</v>
      </c>
      <c r="D11" s="69">
        <v>11207.415767551038</v>
      </c>
      <c r="E11" s="70">
        <f t="shared" si="0"/>
        <v>0.12214102059276616</v>
      </c>
      <c r="F11" s="71">
        <f t="shared" si="1"/>
        <v>12214.102059276616</v>
      </c>
      <c r="G11" s="148"/>
    </row>
    <row r="12" spans="1:17">
      <c r="A12" s="146" t="s">
        <v>92</v>
      </c>
      <c r="B12" s="68">
        <v>2015</v>
      </c>
      <c r="C12" s="69">
        <v>132992</v>
      </c>
      <c r="D12" s="69">
        <v>29287.759874580508</v>
      </c>
      <c r="E12" s="70">
        <f t="shared" si="0"/>
        <v>0.22022196729563062</v>
      </c>
      <c r="F12" s="71">
        <f t="shared" si="1"/>
        <v>22022.196729563064</v>
      </c>
      <c r="G12" s="148">
        <f>AVERAGE(E12:E15)</f>
        <v>0.23043418580689529</v>
      </c>
    </row>
    <row r="13" spans="1:17">
      <c r="A13" s="146"/>
      <c r="B13" s="68">
        <v>2016</v>
      </c>
      <c r="C13" s="69">
        <v>131515</v>
      </c>
      <c r="D13" s="69">
        <v>29961.732097603908</v>
      </c>
      <c r="E13" s="70">
        <f t="shared" si="0"/>
        <v>0.22781988440561082</v>
      </c>
      <c r="F13" s="71">
        <f t="shared" si="1"/>
        <v>22781.988440561083</v>
      </c>
      <c r="G13" s="148"/>
    </row>
    <row r="14" spans="1:17">
      <c r="A14" s="146"/>
      <c r="B14" s="68">
        <v>2017</v>
      </c>
      <c r="C14" s="69">
        <v>130080</v>
      </c>
      <c r="D14" s="69">
        <v>30430.759479041146</v>
      </c>
      <c r="E14" s="70">
        <f t="shared" si="0"/>
        <v>0.23393880288315763</v>
      </c>
      <c r="F14" s="71">
        <f t="shared" si="1"/>
        <v>23393.880288315762</v>
      </c>
      <c r="G14" s="148"/>
    </row>
    <row r="15" spans="1:17">
      <c r="A15" s="146"/>
      <c r="B15" s="68">
        <v>2018</v>
      </c>
      <c r="C15" s="69">
        <v>128835</v>
      </c>
      <c r="D15" s="69">
        <v>30888.975680344371</v>
      </c>
      <c r="E15" s="70">
        <f t="shared" si="0"/>
        <v>0.23975608864318212</v>
      </c>
      <c r="F15" s="71">
        <f t="shared" si="1"/>
        <v>23975.608864318212</v>
      </c>
      <c r="G15" s="148"/>
    </row>
    <row r="16" spans="1:17">
      <c r="A16" s="146" t="s">
        <v>98</v>
      </c>
      <c r="B16" s="68">
        <v>2015</v>
      </c>
      <c r="C16" s="69">
        <v>124047</v>
      </c>
      <c r="D16" s="69">
        <v>22473.86318775345</v>
      </c>
      <c r="E16" s="70">
        <f t="shared" si="0"/>
        <v>0.18117216206561584</v>
      </c>
      <c r="F16" s="71">
        <f t="shared" si="1"/>
        <v>18117.216206561585</v>
      </c>
      <c r="G16" s="148">
        <f>AVERAGE(E16:E19)</f>
        <v>0.18871304330538577</v>
      </c>
    </row>
    <row r="17" spans="1:7">
      <c r="A17" s="146"/>
      <c r="B17" s="68">
        <v>2016</v>
      </c>
      <c r="C17" s="69">
        <v>123072</v>
      </c>
      <c r="D17" s="69">
        <v>22991.03348679432</v>
      </c>
      <c r="E17" s="70">
        <f t="shared" si="0"/>
        <v>0.18680961946498245</v>
      </c>
      <c r="F17" s="71">
        <f t="shared" si="1"/>
        <v>18680.961946498246</v>
      </c>
      <c r="G17" s="148"/>
    </row>
    <row r="18" spans="1:7">
      <c r="A18" s="146"/>
      <c r="B18" s="68">
        <v>2017</v>
      </c>
      <c r="C18" s="69">
        <v>122114</v>
      </c>
      <c r="D18" s="69">
        <v>23350.940056872401</v>
      </c>
      <c r="E18" s="70">
        <f t="shared" si="0"/>
        <v>0.19122246472044485</v>
      </c>
      <c r="F18" s="71">
        <f t="shared" si="1"/>
        <v>19122.246472044484</v>
      </c>
      <c r="G18" s="148"/>
    </row>
    <row r="19" spans="1:7">
      <c r="A19" s="146"/>
      <c r="B19" s="68">
        <v>2018</v>
      </c>
      <c r="C19" s="69">
        <v>121149</v>
      </c>
      <c r="D19" s="69">
        <v>23702.550704549096</v>
      </c>
      <c r="E19" s="70">
        <f t="shared" si="0"/>
        <v>0.19564792697049993</v>
      </c>
      <c r="F19" s="71">
        <f t="shared" si="1"/>
        <v>19564.792697049994</v>
      </c>
      <c r="G19" s="148"/>
    </row>
    <row r="20" spans="1:7">
      <c r="A20" s="146" t="s">
        <v>159</v>
      </c>
      <c r="B20" s="68">
        <v>2015</v>
      </c>
      <c r="C20" s="69">
        <v>50336</v>
      </c>
      <c r="D20" s="69">
        <v>3500.1836388494567</v>
      </c>
      <c r="E20" s="70">
        <f t="shared" si="0"/>
        <v>6.9536388247962821E-2</v>
      </c>
      <c r="F20" s="71">
        <f t="shared" si="1"/>
        <v>6953.6388247962823</v>
      </c>
      <c r="G20" s="148">
        <f>AVERAGE(E20:E23)</f>
        <v>7.1708659587815998E-2</v>
      </c>
    </row>
    <row r="21" spans="1:7">
      <c r="A21" s="146"/>
      <c r="B21" s="68">
        <v>2016</v>
      </c>
      <c r="C21" s="69">
        <v>50199</v>
      </c>
      <c r="D21" s="69">
        <v>3580.7301387582106</v>
      </c>
      <c r="E21" s="70">
        <f t="shared" si="0"/>
        <v>7.13307065630433E-2</v>
      </c>
      <c r="F21" s="71">
        <f t="shared" si="1"/>
        <v>7133.0706563043304</v>
      </c>
      <c r="G21" s="148"/>
    </row>
    <row r="22" spans="1:7">
      <c r="A22" s="146"/>
      <c r="B22" s="68">
        <v>2017</v>
      </c>
      <c r="C22" s="69">
        <v>50177</v>
      </c>
      <c r="D22" s="69">
        <v>3636.7836564635327</v>
      </c>
      <c r="E22" s="70">
        <f t="shared" si="0"/>
        <v>7.2479097125446576E-2</v>
      </c>
      <c r="F22" s="71">
        <f t="shared" si="1"/>
        <v>7247.9097125446579</v>
      </c>
      <c r="G22" s="148"/>
    </row>
    <row r="23" spans="1:7">
      <c r="A23" s="146"/>
      <c r="B23" s="68">
        <v>2018</v>
      </c>
      <c r="C23" s="69">
        <v>50233</v>
      </c>
      <c r="D23" s="69">
        <v>3691.5451287552155</v>
      </c>
      <c r="E23" s="70">
        <f t="shared" si="0"/>
        <v>7.3488446414811295E-2</v>
      </c>
      <c r="F23" s="71">
        <f t="shared" si="1"/>
        <v>7348.8446414811297</v>
      </c>
      <c r="G23" s="148"/>
    </row>
    <row r="24" spans="1:7">
      <c r="A24" s="146" t="s">
        <v>94</v>
      </c>
      <c r="B24" s="68">
        <v>2015</v>
      </c>
      <c r="C24" s="69">
        <v>167658</v>
      </c>
      <c r="D24" s="69">
        <v>48470.476518984164</v>
      </c>
      <c r="E24" s="70">
        <f t="shared" si="0"/>
        <v>0.28910327284701098</v>
      </c>
      <c r="F24" s="71">
        <f t="shared" si="1"/>
        <v>28910.327284701099</v>
      </c>
      <c r="G24" s="148">
        <f>AVERAGE(E24:E27)</f>
        <v>0.30605765148369074</v>
      </c>
    </row>
    <row r="25" spans="1:7">
      <c r="A25" s="146"/>
      <c r="B25" s="68">
        <v>2016</v>
      </c>
      <c r="C25" s="69">
        <v>164514</v>
      </c>
      <c r="D25" s="69">
        <v>49585.882919145763</v>
      </c>
      <c r="E25" s="70">
        <f t="shared" si="0"/>
        <v>0.30140828694910926</v>
      </c>
      <c r="F25" s="71">
        <f t="shared" si="1"/>
        <v>30140.828694910928</v>
      </c>
      <c r="G25" s="148"/>
    </row>
    <row r="26" spans="1:7">
      <c r="A26" s="146"/>
      <c r="B26" s="68">
        <v>2017</v>
      </c>
      <c r="C26" s="69">
        <v>161610</v>
      </c>
      <c r="D26" s="69">
        <v>50362.110967179091</v>
      </c>
      <c r="E26" s="70">
        <f t="shared" si="0"/>
        <v>0.31162744240566231</v>
      </c>
      <c r="F26" s="71">
        <f t="shared" si="1"/>
        <v>31162.74424056623</v>
      </c>
      <c r="G26" s="148"/>
    </row>
    <row r="27" spans="1:7">
      <c r="A27" s="146"/>
      <c r="B27" s="68">
        <v>2018</v>
      </c>
      <c r="C27" s="69">
        <v>158714</v>
      </c>
      <c r="D27" s="69">
        <v>51120.446794876261</v>
      </c>
      <c r="E27" s="70">
        <f t="shared" si="0"/>
        <v>0.32209160373298046</v>
      </c>
      <c r="F27" s="71">
        <f t="shared" si="1"/>
        <v>32209.160373298047</v>
      </c>
      <c r="G27" s="148"/>
    </row>
    <row r="28" spans="1:7">
      <c r="A28" s="146" t="s">
        <v>100</v>
      </c>
      <c r="B28" s="68">
        <v>2015</v>
      </c>
      <c r="C28" s="69">
        <v>356752</v>
      </c>
      <c r="D28" s="69">
        <v>151726.48772042809</v>
      </c>
      <c r="E28" s="70">
        <f t="shared" si="0"/>
        <v>0.42529961351422862</v>
      </c>
      <c r="F28" s="71">
        <f t="shared" si="1"/>
        <v>42529.961351422862</v>
      </c>
      <c r="G28" s="148">
        <f>AVERAGE(E28:E31)</f>
        <v>0.45436824923348063</v>
      </c>
    </row>
    <row r="29" spans="1:7">
      <c r="A29" s="146"/>
      <c r="B29" s="68">
        <v>2016</v>
      </c>
      <c r="C29" s="69">
        <v>348268</v>
      </c>
      <c r="D29" s="69">
        <v>155218.02953374453</v>
      </c>
      <c r="E29" s="70">
        <f t="shared" si="0"/>
        <v>0.44568559136568542</v>
      </c>
      <c r="F29" s="71">
        <f t="shared" si="1"/>
        <v>44568.55913656854</v>
      </c>
      <c r="G29" s="148"/>
    </row>
    <row r="30" spans="1:7">
      <c r="A30" s="146"/>
      <c r="B30" s="68">
        <v>2017</v>
      </c>
      <c r="C30" s="69">
        <v>339891</v>
      </c>
      <c r="D30" s="69">
        <v>157647.84586435254</v>
      </c>
      <c r="E30" s="70">
        <f t="shared" si="0"/>
        <v>0.46381882975528194</v>
      </c>
      <c r="F30" s="71">
        <f t="shared" si="1"/>
        <v>46381.882975528191</v>
      </c>
      <c r="G30" s="148"/>
    </row>
    <row r="31" spans="1:7">
      <c r="A31" s="146"/>
      <c r="B31" s="68">
        <v>2018</v>
      </c>
      <c r="C31" s="69">
        <v>331535</v>
      </c>
      <c r="D31" s="69">
        <v>160021.65441570836</v>
      </c>
      <c r="E31" s="70">
        <f t="shared" si="0"/>
        <v>0.48266896229872669</v>
      </c>
      <c r="F31" s="71">
        <f t="shared" si="1"/>
        <v>48266.896229872669</v>
      </c>
      <c r="G31" s="148"/>
    </row>
    <row r="32" spans="1:7">
      <c r="A32" s="146" t="s">
        <v>160</v>
      </c>
      <c r="B32" s="68">
        <v>2015</v>
      </c>
      <c r="C32" s="69">
        <v>67563</v>
      </c>
      <c r="D32" s="69">
        <v>11986.37708967381</v>
      </c>
      <c r="E32" s="70">
        <f t="shared" ref="E32:E63" si="2">D32/C32</f>
        <v>0.17741037386844588</v>
      </c>
      <c r="F32" s="71">
        <f t="shared" ref="F32:F63" si="3">D32/C32*100000</f>
        <v>17741.037386844589</v>
      </c>
      <c r="G32" s="148">
        <f>AVERAGE(E32:E35)</f>
        <v>0.18290935582747425</v>
      </c>
    </row>
    <row r="33" spans="1:7">
      <c r="A33" s="146"/>
      <c r="B33" s="68">
        <v>2016</v>
      </c>
      <c r="C33" s="69">
        <v>67411</v>
      </c>
      <c r="D33" s="69">
        <v>12262.208537613797</v>
      </c>
      <c r="E33" s="70">
        <f t="shared" si="2"/>
        <v>0.18190219011161082</v>
      </c>
      <c r="F33" s="71">
        <f t="shared" si="3"/>
        <v>18190.219011161083</v>
      </c>
      <c r="G33" s="148"/>
    </row>
    <row r="34" spans="1:7">
      <c r="A34" s="146"/>
      <c r="B34" s="68">
        <v>2017</v>
      </c>
      <c r="C34" s="69">
        <v>67386</v>
      </c>
      <c r="D34" s="69">
        <v>12454.163780464871</v>
      </c>
      <c r="E34" s="70">
        <f t="shared" si="2"/>
        <v>0.18481826759957365</v>
      </c>
      <c r="F34" s="71">
        <f t="shared" si="3"/>
        <v>18481.826759957366</v>
      </c>
      <c r="G34" s="148"/>
    </row>
    <row r="35" spans="1:7">
      <c r="A35" s="146"/>
      <c r="B35" s="68">
        <v>2018</v>
      </c>
      <c r="C35" s="69">
        <v>67420</v>
      </c>
      <c r="D35" s="69">
        <v>12641.694414454576</v>
      </c>
      <c r="E35" s="70">
        <f t="shared" si="2"/>
        <v>0.18750659173026663</v>
      </c>
      <c r="F35" s="71">
        <f t="shared" si="3"/>
        <v>18750.659173026663</v>
      </c>
      <c r="G35" s="148"/>
    </row>
    <row r="36" spans="1:7">
      <c r="A36" s="146" t="s">
        <v>97</v>
      </c>
      <c r="B36" s="68">
        <v>2015</v>
      </c>
      <c r="C36" s="69">
        <v>88398</v>
      </c>
      <c r="D36" s="69">
        <v>13285.732671927391</v>
      </c>
      <c r="E36" s="70">
        <f t="shared" si="2"/>
        <v>0.15029449390175559</v>
      </c>
      <c r="F36" s="71">
        <f t="shared" si="3"/>
        <v>15029.44939017556</v>
      </c>
      <c r="G36" s="148">
        <f>AVERAGE(E36:E39)</f>
        <v>0.15623923361269118</v>
      </c>
    </row>
    <row r="37" spans="1:7">
      <c r="A37" s="146"/>
      <c r="B37" s="68">
        <v>2016</v>
      </c>
      <c r="C37" s="69">
        <v>87769</v>
      </c>
      <c r="D37" s="69">
        <v>13591.464992246129</v>
      </c>
      <c r="E37" s="70">
        <f t="shared" si="2"/>
        <v>0.15485496009121819</v>
      </c>
      <c r="F37" s="71">
        <f t="shared" si="3"/>
        <v>15485.496009121818</v>
      </c>
      <c r="G37" s="148"/>
    </row>
    <row r="38" spans="1:7">
      <c r="A38" s="146"/>
      <c r="B38" s="68">
        <v>2017</v>
      </c>
      <c r="C38" s="69">
        <v>87199</v>
      </c>
      <c r="D38" s="69">
        <v>13804.228700780821</v>
      </c>
      <c r="E38" s="70">
        <f t="shared" si="2"/>
        <v>0.15830719045838623</v>
      </c>
      <c r="F38" s="71">
        <f t="shared" si="3"/>
        <v>15830.719045838623</v>
      </c>
      <c r="G38" s="148"/>
    </row>
    <row r="39" spans="1:7">
      <c r="A39" s="146"/>
      <c r="B39" s="68">
        <v>2018</v>
      </c>
      <c r="C39" s="69">
        <v>86762</v>
      </c>
      <c r="D39" s="69">
        <v>14012.088160928348</v>
      </c>
      <c r="E39" s="70">
        <f t="shared" si="2"/>
        <v>0.16150028999940466</v>
      </c>
      <c r="F39" s="71">
        <f t="shared" si="3"/>
        <v>16150.028999940467</v>
      </c>
      <c r="G39" s="148"/>
    </row>
    <row r="40" spans="1:7">
      <c r="A40" s="146" t="s">
        <v>90</v>
      </c>
      <c r="B40" s="68">
        <v>2015</v>
      </c>
      <c r="C40" s="69">
        <v>47451</v>
      </c>
      <c r="D40" s="69">
        <v>2816.0622353960171</v>
      </c>
      <c r="E40" s="70">
        <f t="shared" si="2"/>
        <v>5.9346741594403007E-2</v>
      </c>
      <c r="F40" s="71">
        <f t="shared" si="3"/>
        <v>5934.6741594403011</v>
      </c>
      <c r="G40" s="148">
        <f>AVERAGE(E40:E43)</f>
        <v>6.0569926652583927E-2</v>
      </c>
    </row>
    <row r="41" spans="1:7">
      <c r="A41" s="146"/>
      <c r="B41" s="68">
        <v>2016</v>
      </c>
      <c r="C41" s="69">
        <v>47627</v>
      </c>
      <c r="D41" s="69">
        <v>2880.8656800121198</v>
      </c>
      <c r="E41" s="70">
        <f t="shared" si="2"/>
        <v>6.0488077771266711E-2</v>
      </c>
      <c r="F41" s="71">
        <f t="shared" si="3"/>
        <v>6048.8077771266708</v>
      </c>
      <c r="G41" s="148"/>
    </row>
    <row r="42" spans="1:7">
      <c r="A42" s="146"/>
      <c r="B42" s="68">
        <v>2017</v>
      </c>
      <c r="C42" s="69">
        <v>47941</v>
      </c>
      <c r="D42" s="69">
        <v>2925.9633693501992</v>
      </c>
      <c r="E42" s="70">
        <f t="shared" si="2"/>
        <v>6.1032589419290358E-2</v>
      </c>
      <c r="F42" s="71">
        <f t="shared" si="3"/>
        <v>6103.2589419290362</v>
      </c>
      <c r="G42" s="148"/>
    </row>
    <row r="43" spans="1:7">
      <c r="A43" s="146"/>
      <c r="B43" s="68">
        <v>2018</v>
      </c>
      <c r="C43" s="69">
        <v>48362</v>
      </c>
      <c r="D43" s="69">
        <v>2970.0215474308166</v>
      </c>
      <c r="E43" s="70">
        <f t="shared" si="2"/>
        <v>6.1412297825375634E-2</v>
      </c>
      <c r="F43" s="71">
        <f t="shared" si="3"/>
        <v>6141.2297825375636</v>
      </c>
      <c r="G43" s="148"/>
    </row>
    <row r="44" spans="1:7">
      <c r="A44" s="146" t="s">
        <v>161</v>
      </c>
      <c r="B44" s="68">
        <v>2015</v>
      </c>
      <c r="C44" s="69">
        <v>43536</v>
      </c>
      <c r="D44" s="69">
        <v>4380.2773193338298</v>
      </c>
      <c r="E44" s="70">
        <f t="shared" si="2"/>
        <v>0.10061276459329818</v>
      </c>
      <c r="F44" s="71">
        <f t="shared" si="3"/>
        <v>10061.276459329818</v>
      </c>
      <c r="G44" s="148">
        <f>AVERAGE(E44:E47)</f>
        <v>0.10467315049571162</v>
      </c>
    </row>
    <row r="45" spans="1:7">
      <c r="A45" s="146"/>
      <c r="B45" s="68">
        <v>2016</v>
      </c>
      <c r="C45" s="69">
        <v>43175</v>
      </c>
      <c r="D45" s="69">
        <v>4481.0766039159416</v>
      </c>
      <c r="E45" s="70">
        <f t="shared" si="2"/>
        <v>0.10378868798878846</v>
      </c>
      <c r="F45" s="71">
        <f t="shared" si="3"/>
        <v>10378.868798878846</v>
      </c>
      <c r="G45" s="148"/>
    </row>
    <row r="46" spans="1:7">
      <c r="A46" s="146"/>
      <c r="B46" s="68">
        <v>2017</v>
      </c>
      <c r="C46" s="69">
        <v>42914</v>
      </c>
      <c r="D46" s="69">
        <v>4551.2243383228733</v>
      </c>
      <c r="E46" s="70">
        <f t="shared" si="2"/>
        <v>0.10605453554371239</v>
      </c>
      <c r="F46" s="71">
        <f t="shared" si="3"/>
        <v>10605.453554371239</v>
      </c>
      <c r="G46" s="148"/>
    </row>
    <row r="47" spans="1:7">
      <c r="A47" s="146"/>
      <c r="B47" s="68">
        <v>2018</v>
      </c>
      <c r="C47" s="69">
        <v>42682</v>
      </c>
      <c r="D47" s="69">
        <v>4619.7551526464995</v>
      </c>
      <c r="E47" s="70">
        <f t="shared" si="2"/>
        <v>0.10823661385704746</v>
      </c>
      <c r="F47" s="71">
        <f t="shared" si="3"/>
        <v>10823.661385704745</v>
      </c>
      <c r="G47" s="148"/>
    </row>
    <row r="48" spans="1:7">
      <c r="A48" s="146" t="s">
        <v>96</v>
      </c>
      <c r="B48" s="68">
        <v>2015</v>
      </c>
      <c r="C48" s="69">
        <v>95331</v>
      </c>
      <c r="D48" s="69">
        <v>12102.772745122486</v>
      </c>
      <c r="E48" s="70">
        <f t="shared" si="2"/>
        <v>0.12695526895891668</v>
      </c>
      <c r="F48" s="71">
        <f t="shared" si="3"/>
        <v>12695.526895891668</v>
      </c>
      <c r="G48" s="148">
        <f>AVERAGE(E48:E51)</f>
        <v>0.13214251819586897</v>
      </c>
    </row>
    <row r="49" spans="1:7">
      <c r="A49" s="146"/>
      <c r="B49" s="68">
        <v>2016</v>
      </c>
      <c r="C49" s="69">
        <v>94649</v>
      </c>
      <c r="D49" s="69">
        <v>12381.282698997682</v>
      </c>
      <c r="E49" s="70">
        <f t="shared" si="2"/>
        <v>0.1308126097370039</v>
      </c>
      <c r="F49" s="71">
        <f t="shared" si="3"/>
        <v>13081.26097370039</v>
      </c>
      <c r="G49" s="148"/>
    </row>
    <row r="50" spans="1:7">
      <c r="A50" s="146"/>
      <c r="B50" s="68">
        <v>2017</v>
      </c>
      <c r="C50" s="69">
        <v>93918</v>
      </c>
      <c r="D50" s="69">
        <v>12575.101954314014</v>
      </c>
      <c r="E50" s="70">
        <f t="shared" si="2"/>
        <v>0.13389448193438971</v>
      </c>
      <c r="F50" s="71">
        <f t="shared" si="3"/>
        <v>13389.448193438971</v>
      </c>
      <c r="G50" s="148"/>
    </row>
    <row r="51" spans="1:7">
      <c r="A51" s="146"/>
      <c r="B51" s="68">
        <v>2018</v>
      </c>
      <c r="C51" s="69">
        <v>93234</v>
      </c>
      <c r="D51" s="69">
        <v>12764.453634888241</v>
      </c>
      <c r="E51" s="70">
        <f t="shared" si="2"/>
        <v>0.13690771215316561</v>
      </c>
      <c r="F51" s="71">
        <f t="shared" si="3"/>
        <v>13690.771215316561</v>
      </c>
      <c r="G51" s="148"/>
    </row>
    <row r="52" spans="1:7">
      <c r="A52" s="146" t="s">
        <v>95</v>
      </c>
      <c r="B52" s="68">
        <v>2015</v>
      </c>
      <c r="C52" s="69">
        <v>125052</v>
      </c>
      <c r="D52" s="69">
        <v>23116.414714260936</v>
      </c>
      <c r="E52" s="70">
        <f t="shared" si="2"/>
        <v>0.18485441827608465</v>
      </c>
      <c r="F52" s="71">
        <f t="shared" si="3"/>
        <v>18485.441827608465</v>
      </c>
      <c r="G52" s="148">
        <f>AVERAGE(E52:E55)</f>
        <v>0.1928896363644122</v>
      </c>
    </row>
    <row r="53" spans="1:7">
      <c r="A53" s="146"/>
      <c r="B53" s="68">
        <v>2016</v>
      </c>
      <c r="C53" s="69">
        <v>123820</v>
      </c>
      <c r="D53" s="69">
        <v>23648.37145933188</v>
      </c>
      <c r="E53" s="70">
        <f t="shared" si="2"/>
        <v>0.19098991648628558</v>
      </c>
      <c r="F53" s="71">
        <f t="shared" si="3"/>
        <v>19098.991648628558</v>
      </c>
      <c r="G53" s="148"/>
    </row>
    <row r="54" spans="1:7">
      <c r="A54" s="146"/>
      <c r="B54" s="68">
        <v>2017</v>
      </c>
      <c r="C54" s="69">
        <v>122764</v>
      </c>
      <c r="D54" s="69">
        <v>24018.568139039613</v>
      </c>
      <c r="E54" s="70">
        <f t="shared" si="2"/>
        <v>0.19564830193737262</v>
      </c>
      <c r="F54" s="71">
        <f t="shared" si="3"/>
        <v>19564.830193737263</v>
      </c>
      <c r="G54" s="148"/>
    </row>
    <row r="55" spans="1:7">
      <c r="A55" s="146"/>
      <c r="B55" s="68">
        <v>2018</v>
      </c>
      <c r="C55" s="69">
        <v>121861</v>
      </c>
      <c r="D55" s="69">
        <v>24380.231707147184</v>
      </c>
      <c r="E55" s="70">
        <f t="shared" si="2"/>
        <v>0.200065908757906</v>
      </c>
      <c r="F55" s="71">
        <f t="shared" si="3"/>
        <v>20006.5908757906</v>
      </c>
      <c r="G55" s="148"/>
    </row>
    <row r="56" spans="1:7">
      <c r="A56" s="146" t="s">
        <v>162</v>
      </c>
      <c r="B56" s="68">
        <v>2015</v>
      </c>
      <c r="C56" s="69">
        <v>54091</v>
      </c>
      <c r="D56" s="69">
        <v>2918.2053616060794</v>
      </c>
      <c r="E56" s="70">
        <f t="shared" si="2"/>
        <v>5.3949924416373876E-2</v>
      </c>
      <c r="F56" s="71">
        <f t="shared" si="3"/>
        <v>5394.9924416373879</v>
      </c>
      <c r="G56" s="148">
        <f>AVERAGE(E56:E59)</f>
        <v>5.622855396036186E-2</v>
      </c>
    </row>
    <row r="57" spans="1:7">
      <c r="A57" s="146"/>
      <c r="B57" s="68">
        <v>2016</v>
      </c>
      <c r="C57" s="69">
        <v>53533</v>
      </c>
      <c r="D57" s="69">
        <v>2985.359331838793</v>
      </c>
      <c r="E57" s="70">
        <f t="shared" si="2"/>
        <v>5.5766710848239275E-2</v>
      </c>
      <c r="F57" s="71">
        <f t="shared" si="3"/>
        <v>5576.6710848239272</v>
      </c>
      <c r="G57" s="148"/>
    </row>
    <row r="58" spans="1:7">
      <c r="A58" s="146"/>
      <c r="B58" s="68">
        <v>2017</v>
      </c>
      <c r="C58" s="69">
        <v>53191</v>
      </c>
      <c r="D58" s="69">
        <v>3032.0927872178149</v>
      </c>
      <c r="E58" s="70">
        <f t="shared" si="2"/>
        <v>5.7003868835288206E-2</v>
      </c>
      <c r="F58" s="71">
        <f t="shared" si="3"/>
        <v>5700.3868835288204</v>
      </c>
      <c r="G58" s="148"/>
    </row>
    <row r="59" spans="1:7">
      <c r="A59" s="146"/>
      <c r="B59" s="68">
        <v>2018</v>
      </c>
      <c r="C59" s="69">
        <v>52888</v>
      </c>
      <c r="D59" s="69">
        <v>3077.7490265868896</v>
      </c>
      <c r="E59" s="70">
        <f t="shared" si="2"/>
        <v>5.8193711741546091E-2</v>
      </c>
      <c r="F59" s="71">
        <f t="shared" si="3"/>
        <v>5819.3711741546094</v>
      </c>
      <c r="G59" s="148"/>
    </row>
    <row r="60" spans="1:7">
      <c r="A60" s="146" t="s">
        <v>91</v>
      </c>
      <c r="B60" s="68">
        <v>2015</v>
      </c>
      <c r="C60" s="69">
        <v>74698</v>
      </c>
      <c r="D60" s="69">
        <v>4341.0828639276433</v>
      </c>
      <c r="E60" s="70">
        <f t="shared" si="2"/>
        <v>5.8115115048965743E-2</v>
      </c>
      <c r="F60" s="71">
        <f t="shared" si="3"/>
        <v>5811.5115048965745</v>
      </c>
      <c r="G60" s="148">
        <f>AVERAGE(E60:E63)</f>
        <v>6.0116040279114526E-2</v>
      </c>
    </row>
    <row r="61" spans="1:7">
      <c r="A61" s="146"/>
      <c r="B61" s="68">
        <v>2016</v>
      </c>
      <c r="C61" s="69">
        <v>74318</v>
      </c>
      <c r="D61" s="69">
        <v>4440.9802026336138</v>
      </c>
      <c r="E61" s="70">
        <f t="shared" si="2"/>
        <v>5.9756454730127473E-2</v>
      </c>
      <c r="F61" s="71">
        <f t="shared" si="3"/>
        <v>5975.6454730127471</v>
      </c>
      <c r="G61" s="148"/>
    </row>
    <row r="62" spans="1:7">
      <c r="A62" s="146"/>
      <c r="B62" s="68">
        <v>2017</v>
      </c>
      <c r="C62" s="69">
        <v>74109</v>
      </c>
      <c r="D62" s="69">
        <v>4510.5002593736726</v>
      </c>
      <c r="E62" s="70">
        <f t="shared" si="2"/>
        <v>6.0863056570371651E-2</v>
      </c>
      <c r="F62" s="71">
        <f t="shared" si="3"/>
        <v>6086.3056570371655</v>
      </c>
      <c r="G62" s="148"/>
    </row>
    <row r="63" spans="1:7">
      <c r="A63" s="149"/>
      <c r="B63" s="72">
        <v>2018</v>
      </c>
      <c r="C63" s="73">
        <v>74169</v>
      </c>
      <c r="D63" s="73">
        <v>4578.4178641331227</v>
      </c>
      <c r="E63" s="74">
        <f t="shared" si="2"/>
        <v>6.1729534766993256E-2</v>
      </c>
      <c r="F63" s="75">
        <f t="shared" si="3"/>
        <v>6172.9534766993256</v>
      </c>
      <c r="G63" s="150"/>
    </row>
    <row r="64" spans="1:7">
      <c r="A64" t="s">
        <v>163</v>
      </c>
    </row>
  </sheetData>
  <mergeCells count="30">
    <mergeCell ref="A52:A55"/>
    <mergeCell ref="G52:G55"/>
    <mergeCell ref="A56:A59"/>
    <mergeCell ref="G56:G59"/>
    <mergeCell ref="A60:A63"/>
    <mergeCell ref="G60:G63"/>
    <mergeCell ref="A40:A43"/>
    <mergeCell ref="G40:G43"/>
    <mergeCell ref="A44:A47"/>
    <mergeCell ref="G44:G47"/>
    <mergeCell ref="A48:A51"/>
    <mergeCell ref="G48:G51"/>
    <mergeCell ref="A28:A31"/>
    <mergeCell ref="G28:G31"/>
    <mergeCell ref="A32:A35"/>
    <mergeCell ref="G32:G35"/>
    <mergeCell ref="A36:A39"/>
    <mergeCell ref="G36:G39"/>
    <mergeCell ref="A16:A19"/>
    <mergeCell ref="G16:G19"/>
    <mergeCell ref="A20:A23"/>
    <mergeCell ref="G20:G23"/>
    <mergeCell ref="A24:A27"/>
    <mergeCell ref="G24:G27"/>
    <mergeCell ref="A4:A7"/>
    <mergeCell ref="G4:G7"/>
    <mergeCell ref="A8:A11"/>
    <mergeCell ref="G8:G11"/>
    <mergeCell ref="A12:A15"/>
    <mergeCell ref="G12:G15"/>
  </mergeCells>
  <hyperlinks>
    <hyperlink ref="Q1" location="Índice!A1" display="Volver al índice" xr:uid="{00000000-0004-0000-1000-00000000000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29C5D1"/>
  </sheetPr>
  <dimension ref="A1:R8"/>
  <sheetViews>
    <sheetView workbookViewId="0">
      <selection activeCell="A8" sqref="A8"/>
    </sheetView>
  </sheetViews>
  <sheetFormatPr defaultColWidth="9.140625" defaultRowHeight="15"/>
  <cols>
    <col min="2" max="2" width="11.28515625" customWidth="1"/>
    <col min="3" max="3" width="15" customWidth="1"/>
  </cols>
  <sheetData>
    <row r="1" spans="1:18" ht="18.75">
      <c r="A1" s="13" t="s">
        <v>164</v>
      </c>
      <c r="R1" s="103" t="s">
        <v>44</v>
      </c>
    </row>
    <row r="3" spans="1:18">
      <c r="A3" s="32" t="s">
        <v>53</v>
      </c>
      <c r="B3" s="33" t="s">
        <v>165</v>
      </c>
      <c r="C3" s="33" t="s">
        <v>166</v>
      </c>
    </row>
    <row r="4" spans="1:18">
      <c r="A4" s="42">
        <v>2016</v>
      </c>
      <c r="B4">
        <v>11897</v>
      </c>
      <c r="C4">
        <v>35684</v>
      </c>
    </row>
    <row r="5" spans="1:18">
      <c r="A5" s="42">
        <v>2017</v>
      </c>
      <c r="B5">
        <v>13496</v>
      </c>
      <c r="C5">
        <v>39851</v>
      </c>
    </row>
    <row r="6" spans="1:18">
      <c r="A6" s="42">
        <v>2018</v>
      </c>
      <c r="B6">
        <v>14844</v>
      </c>
      <c r="C6">
        <v>40700</v>
      </c>
    </row>
    <row r="7" spans="1:18">
      <c r="A7" s="76" t="s">
        <v>49</v>
      </c>
      <c r="B7" s="31">
        <f>AVERAGE(B4:B6)</f>
        <v>13412.333333333334</v>
      </c>
      <c r="C7" s="31">
        <f>AVERAGE(C4:C6)</f>
        <v>38745</v>
      </c>
    </row>
    <row r="8" spans="1:18">
      <c r="A8" t="s">
        <v>167</v>
      </c>
    </row>
  </sheetData>
  <hyperlinks>
    <hyperlink ref="R1" location="Índice!A1" display="Volver al índice" xr:uid="{00000000-0004-0000-1100-000000000000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S19"/>
  <sheetViews>
    <sheetView topLeftCell="A14" workbookViewId="0">
      <selection activeCell="A19" sqref="A19"/>
    </sheetView>
  </sheetViews>
  <sheetFormatPr defaultColWidth="9.140625" defaultRowHeight="15"/>
  <sheetData>
    <row r="1" spans="1:19" ht="18.75">
      <c r="A1" s="13" t="s">
        <v>168</v>
      </c>
      <c r="S1" s="103" t="s">
        <v>44</v>
      </c>
    </row>
    <row r="19" spans="1:1">
      <c r="A19" t="s">
        <v>167</v>
      </c>
    </row>
  </sheetData>
  <hyperlinks>
    <hyperlink ref="S1" location="Índice!A1" display="Volver al índice" xr:uid="{00000000-0004-0000-1200-000000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29C5D1"/>
  </sheetPr>
  <dimension ref="A1:O75"/>
  <sheetViews>
    <sheetView topLeftCell="A66" workbookViewId="0">
      <selection activeCell="D80" sqref="D80"/>
    </sheetView>
  </sheetViews>
  <sheetFormatPr defaultColWidth="9.140625" defaultRowHeight="15"/>
  <cols>
    <col min="2" max="2" width="15.42578125" customWidth="1"/>
    <col min="3" max="3" width="17.85546875" customWidth="1"/>
    <col min="4" max="4" width="23" customWidth="1"/>
    <col min="15" max="15" width="15.28515625" customWidth="1"/>
  </cols>
  <sheetData>
    <row r="1" spans="1:15" ht="18.75">
      <c r="A1" s="13" t="s">
        <v>43</v>
      </c>
      <c r="B1" s="13"/>
      <c r="C1" s="13"/>
      <c r="D1" s="13"/>
      <c r="E1" s="13"/>
      <c r="F1" s="13"/>
      <c r="G1" s="13"/>
      <c r="O1" s="103" t="s">
        <v>44</v>
      </c>
    </row>
    <row r="3" spans="1:15">
      <c r="A3" s="14" t="s">
        <v>45</v>
      </c>
      <c r="B3" s="15" t="s">
        <v>46</v>
      </c>
      <c r="C3" s="15" t="s">
        <v>47</v>
      </c>
      <c r="D3" s="15" t="s">
        <v>48</v>
      </c>
    </row>
    <row r="4" spans="1:15">
      <c r="A4" s="1">
        <v>1</v>
      </c>
      <c r="B4" s="1">
        <v>-0.24428807984266257</v>
      </c>
      <c r="C4" s="2">
        <v>9.2358442284560572E-4</v>
      </c>
      <c r="D4" s="141">
        <f>SUM(C4:C13)</f>
        <v>0.11442725764266209</v>
      </c>
    </row>
    <row r="5" spans="1:15">
      <c r="A5" s="1">
        <v>2</v>
      </c>
      <c r="B5" s="1">
        <v>-0.44660177829784742</v>
      </c>
      <c r="C5" s="2">
        <v>1.6884755323170045E-3</v>
      </c>
      <c r="D5" s="142"/>
    </row>
    <row r="6" spans="1:15">
      <c r="A6" s="1">
        <v>3</v>
      </c>
      <c r="B6" s="1">
        <v>-1.9120196842448407</v>
      </c>
      <c r="C6" s="2">
        <v>7.2288078799426919E-3</v>
      </c>
      <c r="D6" s="142"/>
    </row>
    <row r="7" spans="1:15">
      <c r="A7" s="1">
        <v>4</v>
      </c>
      <c r="B7" s="1">
        <v>-5.7733369862837156</v>
      </c>
      <c r="C7" s="2">
        <v>2.1827361006743741E-2</v>
      </c>
      <c r="D7" s="142"/>
    </row>
    <row r="8" spans="1:15">
      <c r="A8" s="1">
        <v>5</v>
      </c>
      <c r="B8" s="1">
        <v>-0.85537669758456902</v>
      </c>
      <c r="C8" s="2">
        <v>3.2339383651590532E-3</v>
      </c>
      <c r="D8" s="142"/>
    </row>
    <row r="9" spans="1:15">
      <c r="A9" s="1">
        <v>6</v>
      </c>
      <c r="B9" s="1">
        <v>-4.3511787741919248</v>
      </c>
      <c r="C9" s="2">
        <v>1.6450581376907098E-2</v>
      </c>
      <c r="D9" s="142"/>
    </row>
    <row r="10" spans="1:15">
      <c r="A10" s="1">
        <v>7</v>
      </c>
      <c r="B10" s="1">
        <v>-0.75544361154308226</v>
      </c>
      <c r="C10" s="2">
        <v>2.8561195143405774E-3</v>
      </c>
      <c r="D10" s="142"/>
    </row>
    <row r="11" spans="1:15">
      <c r="A11" s="1">
        <v>8</v>
      </c>
      <c r="B11" s="1">
        <v>-13.866909501396082</v>
      </c>
      <c r="C11" s="2">
        <v>5.2426879022291456E-2</v>
      </c>
      <c r="D11" s="142"/>
    </row>
    <row r="12" spans="1:15">
      <c r="A12" s="1">
        <v>9</v>
      </c>
      <c r="B12" s="1">
        <v>-0.32647028118581911</v>
      </c>
      <c r="C12" s="2">
        <v>1.2342921783962924E-3</v>
      </c>
      <c r="D12" s="142"/>
    </row>
    <row r="13" spans="1:15">
      <c r="A13" s="1">
        <v>10</v>
      </c>
      <c r="B13" s="1">
        <v>-1.7343842519135597</v>
      </c>
      <c r="C13" s="2">
        <v>6.5572183437185667E-3</v>
      </c>
      <c r="D13" s="142"/>
    </row>
    <row r="14" spans="1:15">
      <c r="A14" s="1">
        <v>11</v>
      </c>
      <c r="B14" s="1">
        <v>9.6428526929717567E-3</v>
      </c>
      <c r="C14" s="2">
        <v>-3.6456909992331805E-5</v>
      </c>
      <c r="D14" s="141">
        <f>SUM(C14:C46)</f>
        <v>0.4582597302244325</v>
      </c>
    </row>
    <row r="15" spans="1:15">
      <c r="A15" s="1">
        <v>12</v>
      </c>
      <c r="B15" s="1">
        <v>0</v>
      </c>
      <c r="C15" s="2">
        <v>0</v>
      </c>
      <c r="D15" s="142"/>
    </row>
    <row r="16" spans="1:15">
      <c r="A16" s="1">
        <v>13</v>
      </c>
      <c r="B16" s="1">
        <v>4.0156599303218583E-2</v>
      </c>
      <c r="C16" s="2">
        <v>-1.5182079131651648E-4</v>
      </c>
      <c r="D16" s="142"/>
    </row>
    <row r="17" spans="1:4">
      <c r="A17" s="1">
        <v>14</v>
      </c>
      <c r="B17" s="1">
        <v>-5.9446404935347257</v>
      </c>
      <c r="C17" s="2">
        <v>2.2475011317711641E-2</v>
      </c>
      <c r="D17" s="142"/>
    </row>
    <row r="18" spans="1:4">
      <c r="A18" s="1">
        <v>15</v>
      </c>
      <c r="B18" s="1">
        <v>-0.93384327978874715</v>
      </c>
      <c r="C18" s="2">
        <v>3.5305984112996135E-3</v>
      </c>
      <c r="D18" s="142"/>
    </row>
    <row r="19" spans="1:4">
      <c r="A19" s="1">
        <v>16</v>
      </c>
      <c r="B19" s="1">
        <v>-4.8733841624689589</v>
      </c>
      <c r="C19" s="2">
        <v>1.8424892863776795E-2</v>
      </c>
      <c r="D19" s="142"/>
    </row>
    <row r="20" spans="1:4">
      <c r="A20" s="1">
        <v>17</v>
      </c>
      <c r="B20" s="1">
        <v>-6.453936475829126</v>
      </c>
      <c r="C20" s="2">
        <v>2.440051597666968E-2</v>
      </c>
      <c r="D20" s="142"/>
    </row>
    <row r="21" spans="1:4">
      <c r="A21" s="1">
        <v>18</v>
      </c>
      <c r="B21" s="1">
        <v>-2.0761538659684935</v>
      </c>
      <c r="C21" s="2">
        <v>7.8493529904290916E-3</v>
      </c>
      <c r="D21" s="142"/>
    </row>
    <row r="22" spans="1:4">
      <c r="A22" s="1">
        <v>19</v>
      </c>
      <c r="B22" s="1">
        <v>-7.1042749260530655</v>
      </c>
      <c r="C22" s="2">
        <v>2.6859262480351871E-2</v>
      </c>
      <c r="D22" s="142"/>
    </row>
    <row r="23" spans="1:4">
      <c r="A23" s="1">
        <v>20</v>
      </c>
      <c r="B23" s="1">
        <v>-4.84607598300189E-2</v>
      </c>
      <c r="C23" s="2">
        <v>1.8321648328929654E-4</v>
      </c>
      <c r="D23" s="142"/>
    </row>
    <row r="24" spans="1:4">
      <c r="A24" s="1">
        <v>21</v>
      </c>
      <c r="B24" s="1">
        <v>-3.1043620712597053</v>
      </c>
      <c r="C24" s="2">
        <v>1.1736718605896814E-2</v>
      </c>
      <c r="D24" s="142"/>
    </row>
    <row r="25" spans="1:4">
      <c r="A25" s="1">
        <v>22</v>
      </c>
      <c r="B25" s="1">
        <v>-0.22775225459343451</v>
      </c>
      <c r="C25" s="2">
        <v>8.6106712511695518E-4</v>
      </c>
      <c r="D25" s="142"/>
    </row>
    <row r="26" spans="1:4">
      <c r="A26" s="1">
        <v>23</v>
      </c>
      <c r="B26" s="1">
        <v>-5.9095000839919418</v>
      </c>
      <c r="C26" s="2">
        <v>2.2342155327001685E-2</v>
      </c>
      <c r="D26" s="142"/>
    </row>
    <row r="27" spans="1:4">
      <c r="A27" s="1">
        <v>24</v>
      </c>
      <c r="B27" s="1">
        <v>-2.6608777944112032</v>
      </c>
      <c r="C27" s="2">
        <v>1.0060029468473364E-2</v>
      </c>
      <c r="D27" s="142"/>
    </row>
    <row r="28" spans="1:4">
      <c r="A28" s="1">
        <v>25</v>
      </c>
      <c r="B28" s="1">
        <v>-0.46187089798053693</v>
      </c>
      <c r="C28" s="2">
        <v>1.7462037730833165E-3</v>
      </c>
      <c r="D28" s="142"/>
    </row>
    <row r="29" spans="1:4">
      <c r="A29" s="1">
        <v>26</v>
      </c>
      <c r="B29" s="1">
        <v>-2.2344382219690586</v>
      </c>
      <c r="C29" s="2">
        <v>8.44778155753898E-3</v>
      </c>
      <c r="D29" s="142"/>
    </row>
    <row r="30" spans="1:4">
      <c r="A30" s="1">
        <v>27</v>
      </c>
      <c r="B30" s="1">
        <v>-13.447018499793739</v>
      </c>
      <c r="C30" s="2">
        <v>5.0839389413208876E-2</v>
      </c>
      <c r="D30" s="142"/>
    </row>
    <row r="31" spans="1:4">
      <c r="A31" s="1">
        <v>28</v>
      </c>
      <c r="B31" s="1">
        <v>-4.1507967860904244E-2</v>
      </c>
      <c r="C31" s="2">
        <v>1.5692993520190649E-4</v>
      </c>
      <c r="D31" s="142"/>
    </row>
    <row r="32" spans="1:4">
      <c r="A32" s="1">
        <v>29</v>
      </c>
      <c r="B32" s="1">
        <v>-0.49912094546080382</v>
      </c>
      <c r="C32" s="2">
        <v>1.8870357106268588E-3</v>
      </c>
      <c r="D32" s="142"/>
    </row>
    <row r="33" spans="1:4">
      <c r="A33" s="1">
        <v>30</v>
      </c>
      <c r="B33" s="1">
        <v>-2.6465413129108031</v>
      </c>
      <c r="C33" s="2">
        <v>1.0005827269984139E-2</v>
      </c>
      <c r="D33" s="142"/>
    </row>
    <row r="34" spans="1:4">
      <c r="A34" s="1">
        <v>31</v>
      </c>
      <c r="B34" s="1">
        <v>-0.55843597380008636</v>
      </c>
      <c r="C34" s="2">
        <v>2.1112891258982486E-3</v>
      </c>
      <c r="D34" s="142"/>
    </row>
    <row r="35" spans="1:4">
      <c r="A35" s="1">
        <v>32</v>
      </c>
      <c r="B35" s="1">
        <v>-9.9976011261914941</v>
      </c>
      <c r="C35" s="2">
        <v>3.7798113898644611E-2</v>
      </c>
      <c r="D35" s="142"/>
    </row>
    <row r="36" spans="1:4">
      <c r="A36" s="1">
        <v>33</v>
      </c>
      <c r="B36" s="1">
        <v>-22.164493652032629</v>
      </c>
      <c r="C36" s="2">
        <v>8.3797707569121527E-2</v>
      </c>
      <c r="D36" s="142"/>
    </row>
    <row r="37" spans="1:4">
      <c r="A37" s="1">
        <v>34</v>
      </c>
      <c r="B37" s="1">
        <v>-3.935990996867464</v>
      </c>
      <c r="C37" s="2">
        <v>1.4880873334092501E-2</v>
      </c>
      <c r="D37" s="142"/>
    </row>
    <row r="38" spans="1:4">
      <c r="A38" s="1">
        <v>35</v>
      </c>
      <c r="B38" s="1">
        <v>-3.5918266300111208</v>
      </c>
      <c r="C38" s="2">
        <v>1.357968480155434E-2</v>
      </c>
      <c r="D38" s="142"/>
    </row>
    <row r="39" spans="1:4">
      <c r="A39" s="1">
        <v>36</v>
      </c>
      <c r="B39" s="1">
        <v>-0.50747304631681012</v>
      </c>
      <c r="C39" s="2">
        <v>1.9186126514813249E-3</v>
      </c>
      <c r="D39" s="142"/>
    </row>
    <row r="40" spans="1:4">
      <c r="A40" s="1">
        <v>37</v>
      </c>
      <c r="B40" s="1">
        <v>-0.75419281281799599</v>
      </c>
      <c r="C40" s="2">
        <v>2.851390596665393E-3</v>
      </c>
      <c r="D40" s="142"/>
    </row>
    <row r="41" spans="1:4">
      <c r="A41" s="1">
        <v>38</v>
      </c>
      <c r="B41" s="1">
        <v>-3.2057930948734907</v>
      </c>
      <c r="C41" s="2">
        <v>1.2120200736761788E-2</v>
      </c>
      <c r="D41" s="142"/>
    </row>
    <row r="42" spans="1:4">
      <c r="A42" s="1">
        <v>39</v>
      </c>
      <c r="B42" s="1">
        <v>-4.8930090802219537</v>
      </c>
      <c r="C42" s="2">
        <v>1.849908915017753E-2</v>
      </c>
      <c r="D42" s="142"/>
    </row>
    <row r="43" spans="1:4">
      <c r="A43" s="1">
        <v>40</v>
      </c>
      <c r="B43" s="1">
        <v>-1.4613416416370133</v>
      </c>
      <c r="C43" s="2">
        <v>5.5249211404045911E-3</v>
      </c>
      <c r="D43" s="142"/>
    </row>
    <row r="44" spans="1:4">
      <c r="A44" s="1">
        <v>41</v>
      </c>
      <c r="B44" s="1">
        <v>-3.9156970958951609</v>
      </c>
      <c r="C44" s="2">
        <v>1.4804147810567726E-2</v>
      </c>
      <c r="D44" s="142"/>
    </row>
    <row r="45" spans="1:4">
      <c r="A45" s="1">
        <v>42</v>
      </c>
      <c r="B45" s="1">
        <v>-3.3543584235018908</v>
      </c>
      <c r="C45" s="2">
        <v>1.2681884398872941E-2</v>
      </c>
      <c r="D45" s="142"/>
    </row>
    <row r="46" spans="1:4">
      <c r="A46" s="1">
        <v>43</v>
      </c>
      <c r="B46" s="1">
        <v>-4.2516005084861419</v>
      </c>
      <c r="C46" s="2">
        <v>1.6074104001837976E-2</v>
      </c>
      <c r="D46" s="142"/>
    </row>
    <row r="47" spans="1:4">
      <c r="A47" s="1">
        <v>44</v>
      </c>
      <c r="B47" s="1">
        <v>-19.311184526749429</v>
      </c>
      <c r="C47" s="2">
        <v>7.30101494395064E-2</v>
      </c>
      <c r="D47" s="141">
        <f>SUM(C47:C73)</f>
        <v>0.42731301213290557</v>
      </c>
    </row>
    <row r="48" spans="1:4">
      <c r="A48" s="1">
        <v>45</v>
      </c>
      <c r="B48" s="1">
        <v>-0.77967740352339165</v>
      </c>
      <c r="C48" s="2">
        <v>2.9477406560430705E-3</v>
      </c>
      <c r="D48" s="142"/>
    </row>
    <row r="49" spans="1:4">
      <c r="A49" s="1">
        <v>46</v>
      </c>
      <c r="B49" s="1">
        <v>-1.2768555550047211</v>
      </c>
      <c r="C49" s="2">
        <v>4.82743120984772E-3</v>
      </c>
      <c r="D49" s="142"/>
    </row>
    <row r="50" spans="1:4">
      <c r="A50" s="1">
        <v>47</v>
      </c>
      <c r="B50" s="1">
        <v>-24.256823428008364</v>
      </c>
      <c r="C50" s="2">
        <v>9.1708217119124302E-2</v>
      </c>
      <c r="D50" s="142"/>
    </row>
    <row r="51" spans="1:4">
      <c r="A51" s="1">
        <v>48</v>
      </c>
      <c r="B51" s="1">
        <v>-5.2112240801637446</v>
      </c>
      <c r="C51" s="2">
        <v>1.9702170435401695E-2</v>
      </c>
      <c r="D51" s="142"/>
    </row>
    <row r="52" spans="1:4">
      <c r="A52" s="1">
        <v>49</v>
      </c>
      <c r="B52" s="1">
        <v>-8.2406132138899704</v>
      </c>
      <c r="C52" s="2">
        <v>3.1155437481625615E-2</v>
      </c>
      <c r="D52" s="142"/>
    </row>
    <row r="53" spans="1:4">
      <c r="A53" s="1">
        <v>50</v>
      </c>
      <c r="B53" s="1">
        <v>-5.813746907393476</v>
      </c>
      <c r="C53" s="2">
        <v>2.1980139536459279E-2</v>
      </c>
      <c r="D53" s="142"/>
    </row>
    <row r="54" spans="1:4">
      <c r="A54" s="1">
        <v>51</v>
      </c>
      <c r="B54" s="1">
        <v>-1.8844228756428869</v>
      </c>
      <c r="C54" s="2">
        <v>7.1244721196328476E-3</v>
      </c>
      <c r="D54" s="142"/>
    </row>
    <row r="55" spans="1:4">
      <c r="A55" s="1">
        <v>52</v>
      </c>
      <c r="B55" s="1">
        <v>-4.1761459039489619</v>
      </c>
      <c r="C55" s="2">
        <v>1.5788831394892115E-2</v>
      </c>
      <c r="D55" s="142"/>
    </row>
    <row r="56" spans="1:4">
      <c r="A56" s="1">
        <v>53</v>
      </c>
      <c r="B56" s="1">
        <v>-1.2291158249758958</v>
      </c>
      <c r="C56" s="2">
        <v>4.6469407371489474E-3</v>
      </c>
      <c r="D56" s="142"/>
    </row>
    <row r="57" spans="1:4">
      <c r="A57" s="1">
        <v>54</v>
      </c>
      <c r="B57" s="1">
        <v>-1.6305742696552952</v>
      </c>
      <c r="C57" s="2">
        <v>6.164742040284674E-3</v>
      </c>
      <c r="D57" s="142"/>
    </row>
    <row r="58" spans="1:4">
      <c r="A58" s="1">
        <v>55</v>
      </c>
      <c r="B58" s="1">
        <v>-4.3609687433754365</v>
      </c>
      <c r="C58" s="2">
        <v>1.6487594492912813E-2</v>
      </c>
      <c r="D58" s="142"/>
    </row>
    <row r="59" spans="1:4">
      <c r="A59" s="1">
        <v>56</v>
      </c>
      <c r="B59" s="1">
        <v>-1.2163750594594512E-2</v>
      </c>
      <c r="C59" s="2">
        <v>4.598771491340083E-5</v>
      </c>
      <c r="D59" s="142"/>
    </row>
    <row r="60" spans="1:4">
      <c r="A60" s="1">
        <v>57</v>
      </c>
      <c r="B60" s="1">
        <v>-2.4689358698138464</v>
      </c>
      <c r="C60" s="2">
        <v>9.334351114608121E-3</v>
      </c>
      <c r="D60" s="142"/>
    </row>
    <row r="61" spans="1:4">
      <c r="A61" s="1">
        <v>58</v>
      </c>
      <c r="B61" s="1">
        <v>-0.11709606658567519</v>
      </c>
      <c r="C61" s="2">
        <v>4.4270724607060592E-4</v>
      </c>
      <c r="D61" s="142"/>
    </row>
    <row r="62" spans="1:4">
      <c r="A62" s="1">
        <v>59</v>
      </c>
      <c r="B62" s="1">
        <v>-2.1483836730866108</v>
      </c>
      <c r="C62" s="2">
        <v>8.1224335466412566E-3</v>
      </c>
      <c r="D62" s="142"/>
    </row>
    <row r="63" spans="1:4">
      <c r="A63" s="1">
        <v>60</v>
      </c>
      <c r="B63" s="1">
        <v>-0.77661177967439288</v>
      </c>
      <c r="C63" s="2">
        <v>2.9361503957443984E-3</v>
      </c>
      <c r="D63" s="142"/>
    </row>
    <row r="64" spans="1:4">
      <c r="A64" s="1">
        <v>61</v>
      </c>
      <c r="B64" s="1">
        <v>-6.4814856192696654E-3</v>
      </c>
      <c r="C64" s="2">
        <v>2.4504671528429754E-5</v>
      </c>
      <c r="D64" s="142"/>
    </row>
    <row r="65" spans="1:4">
      <c r="A65" s="1">
        <v>62</v>
      </c>
      <c r="B65" s="1">
        <v>-13.281339316522995</v>
      </c>
      <c r="C65" s="2">
        <v>5.0213003087043497E-2</v>
      </c>
      <c r="D65" s="142"/>
    </row>
    <row r="66" spans="1:4">
      <c r="A66" s="1">
        <v>63</v>
      </c>
      <c r="B66" s="1">
        <v>-5.3665836195752776</v>
      </c>
      <c r="C66" s="2">
        <v>2.0289541094802577E-2</v>
      </c>
      <c r="D66" s="142"/>
    </row>
    <row r="67" spans="1:4">
      <c r="A67" s="1">
        <v>64</v>
      </c>
      <c r="B67" s="1">
        <v>-0.46972856569443422</v>
      </c>
      <c r="C67" s="2">
        <v>1.7759114014912459E-3</v>
      </c>
      <c r="D67" s="142"/>
    </row>
    <row r="68" spans="1:4">
      <c r="A68" s="1">
        <v>65</v>
      </c>
      <c r="B68" s="1">
        <v>-0.31401930407734191</v>
      </c>
      <c r="C68" s="2">
        <v>1.1872185409351308E-3</v>
      </c>
      <c r="D68" s="142"/>
    </row>
    <row r="69" spans="1:4">
      <c r="A69" s="1">
        <v>66</v>
      </c>
      <c r="B69" s="1">
        <v>-0.2534494771541918</v>
      </c>
      <c r="C69" s="2">
        <v>9.5822108564911897E-4</v>
      </c>
      <c r="D69" s="142"/>
    </row>
    <row r="70" spans="1:4">
      <c r="A70" s="1">
        <v>67</v>
      </c>
      <c r="B70" s="1">
        <v>-0.3166274525212176</v>
      </c>
      <c r="C70" s="2">
        <v>1.1970792155811638E-3</v>
      </c>
      <c r="D70" s="142"/>
    </row>
    <row r="71" spans="1:4">
      <c r="A71" s="1">
        <v>68</v>
      </c>
      <c r="B71" s="1">
        <v>-8.7022483082232647</v>
      </c>
      <c r="C71" s="2">
        <v>3.2900749747535991E-2</v>
      </c>
      <c r="D71" s="142"/>
    </row>
    <row r="72" spans="1:4">
      <c r="A72" s="1">
        <v>69</v>
      </c>
      <c r="B72" s="1">
        <v>-0.619270307678775</v>
      </c>
      <c r="C72" s="2">
        <v>2.3412866074811922E-3</v>
      </c>
      <c r="D72" s="142"/>
    </row>
    <row r="73" spans="1:4">
      <c r="A73" s="1">
        <v>70</v>
      </c>
      <c r="B73" s="1">
        <v>0</v>
      </c>
      <c r="C73" s="2">
        <v>0</v>
      </c>
      <c r="D73" s="142"/>
    </row>
    <row r="74" spans="1:4">
      <c r="A74" s="16" t="s">
        <v>49</v>
      </c>
      <c r="B74" s="17">
        <v>-264.49999999999983</v>
      </c>
      <c r="C74" s="18">
        <f>SUM(C4:C73)</f>
        <v>1.0000000000000002</v>
      </c>
      <c r="D74" s="18">
        <f>SUM(D4:D73)</f>
        <v>1.0000000000000002</v>
      </c>
    </row>
    <row r="75" spans="1:4">
      <c r="A75" t="s">
        <v>50</v>
      </c>
    </row>
  </sheetData>
  <mergeCells count="3">
    <mergeCell ref="D4:D13"/>
    <mergeCell ref="D14:D46"/>
    <mergeCell ref="D47:D73"/>
  </mergeCells>
  <conditionalFormatting sqref="C5:C10 C21:C74">
    <cfRule type="cellIs" dxfId="0" priority="1" operator="lessThan">
      <formula>0</formula>
    </cfRule>
  </conditionalFormatting>
  <hyperlinks>
    <hyperlink ref="O1" location="Índice!A1" display="Volver al índice" xr:uid="{00000000-0004-0000-0100-000000000000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29C5D1"/>
  </sheetPr>
  <dimension ref="A1:S8"/>
  <sheetViews>
    <sheetView workbookViewId="0">
      <selection activeCell="A8" sqref="A8"/>
    </sheetView>
  </sheetViews>
  <sheetFormatPr defaultColWidth="9.140625" defaultRowHeight="15"/>
  <sheetData>
    <row r="1" spans="1:19" ht="18.75">
      <c r="A1" s="13" t="s">
        <v>169</v>
      </c>
      <c r="S1" s="103" t="s">
        <v>44</v>
      </c>
    </row>
    <row r="3" spans="1:19">
      <c r="A3" s="32" t="s">
        <v>53</v>
      </c>
      <c r="B3" s="33" t="s">
        <v>165</v>
      </c>
      <c r="C3" s="33" t="s">
        <v>166</v>
      </c>
    </row>
    <row r="4" spans="1:19">
      <c r="A4">
        <v>2016</v>
      </c>
      <c r="B4" s="77">
        <v>44792</v>
      </c>
      <c r="C4" s="77">
        <v>31818</v>
      </c>
    </row>
    <row r="5" spans="1:19">
      <c r="A5">
        <v>2017</v>
      </c>
      <c r="B5" s="77">
        <v>42942</v>
      </c>
      <c r="C5" s="77">
        <v>30978</v>
      </c>
    </row>
    <row r="6" spans="1:19">
      <c r="A6">
        <v>2018</v>
      </c>
      <c r="B6" s="77">
        <v>45408</v>
      </c>
      <c r="C6" s="77">
        <v>32533</v>
      </c>
    </row>
    <row r="7" spans="1:19">
      <c r="A7" s="23" t="s">
        <v>49</v>
      </c>
      <c r="B7" s="23">
        <f>AVERAGE(B4:B6)</f>
        <v>44380.666666666664</v>
      </c>
      <c r="C7" s="23">
        <f>AVERAGE(C4:C6)</f>
        <v>31776.333333333332</v>
      </c>
    </row>
    <row r="8" spans="1:19">
      <c r="A8" t="s">
        <v>167</v>
      </c>
    </row>
  </sheetData>
  <hyperlinks>
    <hyperlink ref="S1" location="Índice!A1" display="Volver al índice" xr:uid="{00000000-0004-0000-1300-000000000000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S18"/>
  <sheetViews>
    <sheetView topLeftCell="A7" workbookViewId="0">
      <selection activeCell="A18" sqref="A18"/>
    </sheetView>
  </sheetViews>
  <sheetFormatPr defaultColWidth="9.140625" defaultRowHeight="15"/>
  <sheetData>
    <row r="1" spans="1:19" ht="18.75">
      <c r="A1" s="13" t="s">
        <v>170</v>
      </c>
      <c r="S1" s="103" t="s">
        <v>44</v>
      </c>
    </row>
    <row r="18" spans="1:1">
      <c r="A18" t="s">
        <v>167</v>
      </c>
    </row>
  </sheetData>
  <hyperlinks>
    <hyperlink ref="S1" location="Índice!A1" display="Volver al índice" xr:uid="{00000000-0004-0000-1400-000000000000}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29C5D1"/>
  </sheetPr>
  <dimension ref="A1:S7"/>
  <sheetViews>
    <sheetView workbookViewId="0">
      <selection activeCell="S1" sqref="S1"/>
    </sheetView>
  </sheetViews>
  <sheetFormatPr defaultColWidth="9.140625" defaultRowHeight="15"/>
  <sheetData>
    <row r="1" spans="1:19" ht="18.75">
      <c r="A1" s="13" t="s">
        <v>171</v>
      </c>
      <c r="S1" s="103" t="s">
        <v>44</v>
      </c>
    </row>
    <row r="3" spans="1:19">
      <c r="A3" s="32" t="s">
        <v>53</v>
      </c>
      <c r="B3" s="33" t="s">
        <v>165</v>
      </c>
      <c r="C3" s="33" t="s">
        <v>166</v>
      </c>
      <c r="D3" s="33" t="s">
        <v>49</v>
      </c>
      <c r="E3" s="33" t="s">
        <v>172</v>
      </c>
      <c r="F3" s="33" t="s">
        <v>173</v>
      </c>
    </row>
    <row r="4" spans="1:19">
      <c r="A4" s="19">
        <v>2016</v>
      </c>
      <c r="B4" s="78">
        <v>325</v>
      </c>
      <c r="C4" s="78">
        <v>86</v>
      </c>
      <c r="D4" s="79">
        <f>B4+C4</f>
        <v>411</v>
      </c>
      <c r="E4" s="80">
        <f>B4/D4</f>
        <v>0.79075425790754261</v>
      </c>
      <c r="F4" s="80">
        <f>C4/D4</f>
        <v>0.20924574209245742</v>
      </c>
    </row>
    <row r="5" spans="1:19">
      <c r="A5" s="19">
        <v>2017</v>
      </c>
      <c r="B5" s="78">
        <v>367</v>
      </c>
      <c r="C5" s="78">
        <v>73</v>
      </c>
      <c r="D5" s="79">
        <v>440</v>
      </c>
      <c r="E5" s="80">
        <f t="shared" ref="E5:E6" si="0">B5/D5</f>
        <v>0.83409090909090911</v>
      </c>
      <c r="F5" s="80">
        <f t="shared" ref="F5:F6" si="1">C5/D5</f>
        <v>0.16590909090909092</v>
      </c>
    </row>
    <row r="6" spans="1:19">
      <c r="A6" s="102">
        <v>2018</v>
      </c>
      <c r="B6" s="81">
        <v>380</v>
      </c>
      <c r="C6" s="81">
        <v>96</v>
      </c>
      <c r="D6" s="82">
        <v>476</v>
      </c>
      <c r="E6" s="83">
        <f t="shared" si="0"/>
        <v>0.79831932773109249</v>
      </c>
      <c r="F6" s="83">
        <f t="shared" si="1"/>
        <v>0.20168067226890757</v>
      </c>
    </row>
    <row r="7" spans="1:19">
      <c r="A7" t="s">
        <v>174</v>
      </c>
    </row>
  </sheetData>
  <hyperlinks>
    <hyperlink ref="S1" location="Índice!A1" display="Volver al índice" xr:uid="{00000000-0004-0000-1500-000000000000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S18"/>
  <sheetViews>
    <sheetView topLeftCell="A7" workbookViewId="0">
      <selection activeCell="A18" sqref="A18"/>
    </sheetView>
  </sheetViews>
  <sheetFormatPr defaultColWidth="9.140625" defaultRowHeight="15"/>
  <sheetData>
    <row r="1" spans="1:19" ht="18.75">
      <c r="A1" s="13" t="s">
        <v>175</v>
      </c>
      <c r="S1" s="103" t="s">
        <v>44</v>
      </c>
    </row>
    <row r="18" spans="1:1">
      <c r="A18" t="s">
        <v>174</v>
      </c>
    </row>
  </sheetData>
  <hyperlinks>
    <hyperlink ref="S1" location="Índice!A1" display="Volver al índice" xr:uid="{00000000-0004-0000-1600-000000000000}"/>
  </hyperlink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29C5D1"/>
  </sheetPr>
  <dimension ref="A1:O9"/>
  <sheetViews>
    <sheetView workbookViewId="0">
      <selection activeCell="A9" sqref="A9"/>
    </sheetView>
  </sheetViews>
  <sheetFormatPr defaultColWidth="9.140625" defaultRowHeight="15"/>
  <cols>
    <col min="1" max="1" width="41.7109375" customWidth="1"/>
  </cols>
  <sheetData>
    <row r="1" spans="1:15" ht="21">
      <c r="A1" s="87" t="s">
        <v>176</v>
      </c>
      <c r="O1" s="103" t="s">
        <v>44</v>
      </c>
    </row>
    <row r="3" spans="1:15">
      <c r="A3" s="84"/>
      <c r="B3" s="85">
        <v>2016</v>
      </c>
      <c r="C3" s="85">
        <v>2017</v>
      </c>
      <c r="D3" s="85">
        <v>2018</v>
      </c>
    </row>
    <row r="4" spans="1:15" ht="30">
      <c r="A4" s="3" t="s">
        <v>177</v>
      </c>
      <c r="B4" s="3">
        <v>169</v>
      </c>
      <c r="C4" s="3">
        <v>158</v>
      </c>
      <c r="D4" s="3">
        <v>170</v>
      </c>
    </row>
    <row r="5" spans="1:15" ht="30">
      <c r="A5" s="3" t="s">
        <v>178</v>
      </c>
      <c r="B5" s="3">
        <v>1483</v>
      </c>
      <c r="C5" s="3">
        <v>1344</v>
      </c>
      <c r="D5" s="3">
        <v>1308</v>
      </c>
    </row>
    <row r="6" spans="1:15" ht="30">
      <c r="A6" s="3" t="s">
        <v>179</v>
      </c>
      <c r="B6" s="3">
        <v>226</v>
      </c>
      <c r="C6" s="3">
        <v>279</v>
      </c>
      <c r="D6" s="3">
        <v>257</v>
      </c>
    </row>
    <row r="7" spans="1:15" ht="30">
      <c r="A7" s="3" t="s">
        <v>180</v>
      </c>
      <c r="B7" s="3">
        <v>245</v>
      </c>
      <c r="C7" s="3">
        <v>318</v>
      </c>
      <c r="D7" s="3">
        <v>330</v>
      </c>
    </row>
    <row r="8" spans="1:15">
      <c r="A8" s="86" t="s">
        <v>49</v>
      </c>
      <c r="B8" s="86">
        <f>SUM(B4:B7)</f>
        <v>2123</v>
      </c>
      <c r="C8" s="86">
        <f t="shared" ref="C8:D8" si="0">SUM(C4:C7)</f>
        <v>2099</v>
      </c>
      <c r="D8" s="86">
        <f t="shared" si="0"/>
        <v>2065</v>
      </c>
    </row>
    <row r="9" spans="1:15">
      <c r="A9" t="s">
        <v>181</v>
      </c>
    </row>
  </sheetData>
  <hyperlinks>
    <hyperlink ref="O1" location="Índice!A1" display="Volver al índice" xr:uid="{00000000-0004-0000-1700-000000000000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R18"/>
  <sheetViews>
    <sheetView topLeftCell="A8" workbookViewId="0">
      <selection activeCell="A18" sqref="A18"/>
    </sheetView>
  </sheetViews>
  <sheetFormatPr defaultColWidth="9.140625" defaultRowHeight="15"/>
  <sheetData>
    <row r="1" spans="1:18" ht="18.75">
      <c r="A1" s="13" t="s">
        <v>182</v>
      </c>
      <c r="R1" s="103" t="s">
        <v>44</v>
      </c>
    </row>
    <row r="18" spans="1:1">
      <c r="A18" t="s">
        <v>181</v>
      </c>
    </row>
  </sheetData>
  <hyperlinks>
    <hyperlink ref="R1" location="Índice!A1" display="Volver al índice" xr:uid="{00000000-0004-0000-1800-000000000000}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29C5D1"/>
  </sheetPr>
  <dimension ref="A1:M8"/>
  <sheetViews>
    <sheetView workbookViewId="0">
      <selection activeCell="I17" sqref="I17"/>
    </sheetView>
  </sheetViews>
  <sheetFormatPr defaultColWidth="9.140625" defaultRowHeight="15"/>
  <cols>
    <col min="1" max="1" width="16.140625" customWidth="1"/>
  </cols>
  <sheetData>
    <row r="1" spans="1:13" ht="18.75">
      <c r="A1" s="13" t="s">
        <v>183</v>
      </c>
      <c r="M1" s="103" t="s">
        <v>44</v>
      </c>
    </row>
    <row r="3" spans="1:13">
      <c r="A3" s="32" t="s">
        <v>184</v>
      </c>
      <c r="B3" s="33" t="s">
        <v>142</v>
      </c>
    </row>
    <row r="4" spans="1:13">
      <c r="A4" t="s">
        <v>185</v>
      </c>
      <c r="B4">
        <v>22.1</v>
      </c>
    </row>
    <row r="5" spans="1:13">
      <c r="A5" t="s">
        <v>186</v>
      </c>
      <c r="B5">
        <v>25.9</v>
      </c>
    </row>
    <row r="6" spans="1:13">
      <c r="A6" t="s">
        <v>187</v>
      </c>
      <c r="B6">
        <v>3.9</v>
      </c>
    </row>
    <row r="7" spans="1:13">
      <c r="A7" s="23" t="s">
        <v>49</v>
      </c>
      <c r="B7" s="23">
        <v>36.200000000000003</v>
      </c>
    </row>
    <row r="8" spans="1:13">
      <c r="A8" t="s">
        <v>188</v>
      </c>
    </row>
  </sheetData>
  <hyperlinks>
    <hyperlink ref="M1" location="Índice!A1" display="Volver al índice" xr:uid="{00000000-0004-0000-1900-000000000000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N18"/>
  <sheetViews>
    <sheetView topLeftCell="A11" workbookViewId="0">
      <selection activeCell="A18" sqref="A18"/>
    </sheetView>
  </sheetViews>
  <sheetFormatPr defaultColWidth="9.140625" defaultRowHeight="15"/>
  <sheetData>
    <row r="1" spans="1:14" ht="18.75">
      <c r="A1" s="13" t="s">
        <v>189</v>
      </c>
      <c r="N1" s="103" t="s">
        <v>44</v>
      </c>
    </row>
    <row r="18" spans="1:1">
      <c r="A18" t="s">
        <v>188</v>
      </c>
    </row>
  </sheetData>
  <hyperlinks>
    <hyperlink ref="N1" location="Índice!A1" display="Volver al índice" xr:uid="{00000000-0004-0000-1A00-000000000000}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29C5D1"/>
  </sheetPr>
  <dimension ref="A1:S6"/>
  <sheetViews>
    <sheetView workbookViewId="0">
      <selection activeCell="A6" sqref="A6"/>
    </sheetView>
  </sheetViews>
  <sheetFormatPr defaultColWidth="9.140625" defaultRowHeight="15"/>
  <sheetData>
    <row r="1" spans="1:19" ht="18.75">
      <c r="A1" s="13" t="s">
        <v>190</v>
      </c>
      <c r="S1" s="103" t="s">
        <v>44</v>
      </c>
    </row>
    <row r="2" spans="1:19" ht="18.75">
      <c r="A2" s="13"/>
    </row>
    <row r="3" spans="1:19">
      <c r="A3" s="151" t="s">
        <v>191</v>
      </c>
      <c r="B3" s="152"/>
      <c r="C3" s="152"/>
      <c r="D3" s="152"/>
      <c r="E3" s="152" t="s">
        <v>192</v>
      </c>
      <c r="F3" s="152"/>
      <c r="G3" s="152"/>
      <c r="H3" s="152"/>
      <c r="I3" s="152" t="s">
        <v>193</v>
      </c>
      <c r="J3" s="152"/>
      <c r="K3" s="152"/>
      <c r="L3" s="152"/>
    </row>
    <row r="4" spans="1:19">
      <c r="A4" s="1" t="s">
        <v>194</v>
      </c>
      <c r="B4" s="1" t="s">
        <v>195</v>
      </c>
      <c r="C4" s="1" t="s">
        <v>196</v>
      </c>
      <c r="D4" s="1"/>
      <c r="E4" s="1" t="s">
        <v>194</v>
      </c>
      <c r="F4" s="1" t="s">
        <v>195</v>
      </c>
      <c r="G4" s="1" t="s">
        <v>196</v>
      </c>
      <c r="H4" s="1"/>
      <c r="I4" s="1" t="s">
        <v>194</v>
      </c>
      <c r="J4" s="1" t="s">
        <v>195</v>
      </c>
      <c r="K4" s="1" t="s">
        <v>196</v>
      </c>
      <c r="L4" s="1"/>
    </row>
    <row r="5" spans="1:19">
      <c r="A5" s="44">
        <v>451554</v>
      </c>
      <c r="B5" s="44">
        <v>40792</v>
      </c>
      <c r="C5" s="44">
        <v>81299</v>
      </c>
      <c r="D5" s="44">
        <f>A5+B5+C5</f>
        <v>573645</v>
      </c>
      <c r="E5" s="44">
        <v>60055</v>
      </c>
      <c r="F5" s="44">
        <v>20667</v>
      </c>
      <c r="G5" s="44">
        <v>12263</v>
      </c>
      <c r="H5" s="44">
        <f>E5+F5+G5</f>
        <v>92985</v>
      </c>
      <c r="I5" s="44">
        <v>61329</v>
      </c>
      <c r="J5" s="44">
        <v>14704</v>
      </c>
      <c r="K5" s="44">
        <v>5411</v>
      </c>
      <c r="L5" s="44">
        <f>I5+J5+K5</f>
        <v>81444</v>
      </c>
    </row>
    <row r="6" spans="1:19">
      <c r="A6" t="s">
        <v>197</v>
      </c>
    </row>
  </sheetData>
  <mergeCells count="3">
    <mergeCell ref="A3:D3"/>
    <mergeCell ref="E3:H3"/>
    <mergeCell ref="I3:L3"/>
  </mergeCells>
  <hyperlinks>
    <hyperlink ref="S1" location="Índice!A1" display="Volver al índice" xr:uid="{00000000-0004-0000-1B00-000000000000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O18"/>
  <sheetViews>
    <sheetView topLeftCell="A8" workbookViewId="0">
      <selection activeCell="A18" sqref="A18"/>
    </sheetView>
  </sheetViews>
  <sheetFormatPr defaultColWidth="9.140625" defaultRowHeight="15"/>
  <sheetData>
    <row r="1" spans="1:15" ht="18.75">
      <c r="A1" s="13" t="s">
        <v>198</v>
      </c>
    </row>
    <row r="2" spans="1:15">
      <c r="O2" s="103" t="s">
        <v>44</v>
      </c>
    </row>
    <row r="18" spans="1:1">
      <c r="A18" t="s">
        <v>197</v>
      </c>
    </row>
  </sheetData>
  <hyperlinks>
    <hyperlink ref="O2" location="Índice!A1" display="Volver al índice" xr:uid="{00000000-0004-0000-1C00-00000000000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"/>
  <sheetViews>
    <sheetView workbookViewId="0">
      <selection activeCell="S1" sqref="S1"/>
    </sheetView>
  </sheetViews>
  <sheetFormatPr defaultColWidth="9.140625" defaultRowHeight="15"/>
  <sheetData>
    <row r="1" spans="1:19" ht="18.75">
      <c r="A1" s="13" t="s">
        <v>51</v>
      </c>
      <c r="S1" s="103" t="s">
        <v>44</v>
      </c>
    </row>
  </sheetData>
  <hyperlinks>
    <hyperlink ref="S1" location="Índice!A1" display="Volver al índice" xr:uid="{00000000-0004-0000-0200-000000000000}"/>
  </hyperlink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29E6D1"/>
  </sheetPr>
  <dimension ref="A1:O27"/>
  <sheetViews>
    <sheetView workbookViewId="0">
      <selection activeCell="K18" sqref="K18"/>
    </sheetView>
  </sheetViews>
  <sheetFormatPr defaultColWidth="8.7109375" defaultRowHeight="15"/>
  <cols>
    <col min="9" max="9" width="13.85546875" customWidth="1"/>
    <col min="11" max="11" width="28.42578125" customWidth="1"/>
  </cols>
  <sheetData>
    <row r="1" spans="1:15" ht="18.75">
      <c r="A1" s="13" t="s">
        <v>199</v>
      </c>
      <c r="O1" s="103" t="s">
        <v>44</v>
      </c>
    </row>
    <row r="3" spans="1:15">
      <c r="A3" s="154" t="s">
        <v>53</v>
      </c>
      <c r="B3" s="156" t="s">
        <v>200</v>
      </c>
      <c r="C3" s="156"/>
      <c r="D3" s="156"/>
      <c r="E3" s="156" t="s">
        <v>201</v>
      </c>
      <c r="F3" s="156"/>
      <c r="G3" s="156"/>
      <c r="H3" s="156" t="s">
        <v>49</v>
      </c>
      <c r="I3" s="156"/>
      <c r="J3" s="156"/>
      <c r="K3" s="156" t="s">
        <v>202</v>
      </c>
    </row>
    <row r="4" spans="1:15" ht="30">
      <c r="A4" s="155"/>
      <c r="B4" s="106" t="s">
        <v>203</v>
      </c>
      <c r="C4" s="106" t="s">
        <v>204</v>
      </c>
      <c r="D4" s="106" t="s">
        <v>205</v>
      </c>
      <c r="E4" s="106" t="s">
        <v>203</v>
      </c>
      <c r="F4" s="106" t="s">
        <v>204</v>
      </c>
      <c r="G4" s="106" t="s">
        <v>205</v>
      </c>
      <c r="H4" s="106" t="s">
        <v>203</v>
      </c>
      <c r="I4" s="106" t="s">
        <v>204</v>
      </c>
      <c r="J4" s="106" t="s">
        <v>205</v>
      </c>
      <c r="K4" s="157"/>
    </row>
    <row r="5" spans="1:15">
      <c r="A5" s="107"/>
      <c r="B5" s="108">
        <v>1</v>
      </c>
      <c r="C5" s="108">
        <v>2</v>
      </c>
      <c r="D5" s="108">
        <v>3</v>
      </c>
      <c r="E5" s="108">
        <v>4</v>
      </c>
      <c r="F5" s="108">
        <v>5</v>
      </c>
      <c r="G5" s="108">
        <v>6</v>
      </c>
      <c r="H5" s="108">
        <v>7</v>
      </c>
      <c r="I5" s="108">
        <v>8</v>
      </c>
      <c r="J5" s="108">
        <v>9</v>
      </c>
      <c r="K5" s="108">
        <v>10</v>
      </c>
    </row>
    <row r="6" spans="1:15">
      <c r="A6" s="104">
        <v>2001</v>
      </c>
      <c r="B6" s="105">
        <v>51.473630285714286</v>
      </c>
      <c r="C6" s="105">
        <v>29.778222857142861</v>
      </c>
      <c r="D6" s="105">
        <v>81.251853142857144</v>
      </c>
      <c r="E6" s="105">
        <v>123.99524057142857</v>
      </c>
      <c r="F6" s="105">
        <v>130.46438228571429</v>
      </c>
      <c r="G6" s="105">
        <v>254.45962285714285</v>
      </c>
      <c r="H6" s="105">
        <v>175.46887085714286</v>
      </c>
      <c r="I6" s="105">
        <v>160.24260514285714</v>
      </c>
      <c r="J6" s="105">
        <v>335.711476</v>
      </c>
      <c r="K6" s="104"/>
    </row>
    <row r="7" spans="1:15">
      <c r="A7" s="104">
        <v>2002</v>
      </c>
      <c r="B7" s="4">
        <v>66.328779999999995</v>
      </c>
      <c r="C7" s="4">
        <v>58.947809999999997</v>
      </c>
      <c r="D7" s="4">
        <v>125.27659</v>
      </c>
      <c r="E7" s="4">
        <v>201.60765499999999</v>
      </c>
      <c r="F7" s="4">
        <v>136.93686500000001</v>
      </c>
      <c r="G7" s="4">
        <v>338.54451999999998</v>
      </c>
      <c r="H7" s="4">
        <v>267.93643499999996</v>
      </c>
      <c r="I7" s="4">
        <v>195.88467500000002</v>
      </c>
      <c r="J7" s="4">
        <v>463.82110999999998</v>
      </c>
    </row>
    <row r="8" spans="1:15">
      <c r="A8" s="104">
        <v>2003</v>
      </c>
      <c r="B8" s="4">
        <v>49.230969999999999</v>
      </c>
      <c r="C8" s="4">
        <v>8.0755999999999997</v>
      </c>
      <c r="D8" s="4">
        <v>57.306570000000001</v>
      </c>
      <c r="E8" s="4">
        <v>224.13861</v>
      </c>
      <c r="F8" s="4">
        <v>163.32937999999999</v>
      </c>
      <c r="G8" s="4">
        <v>387.46798999999999</v>
      </c>
      <c r="H8" s="4">
        <v>273.36957999999998</v>
      </c>
      <c r="I8" s="4">
        <v>171.40497999999999</v>
      </c>
      <c r="J8" s="4">
        <v>444.77456000000001</v>
      </c>
    </row>
    <row r="9" spans="1:15">
      <c r="A9" s="104">
        <v>2004</v>
      </c>
      <c r="B9" s="4">
        <v>42.187424999999998</v>
      </c>
      <c r="C9" s="4">
        <v>11.020379999999999</v>
      </c>
      <c r="D9" s="4">
        <v>53.207805</v>
      </c>
      <c r="E9" s="4">
        <v>300.633465</v>
      </c>
      <c r="F9" s="4">
        <v>200.755335</v>
      </c>
      <c r="G9" s="4">
        <v>501.3888</v>
      </c>
      <c r="H9" s="4">
        <v>342.82089000000002</v>
      </c>
      <c r="I9" s="4">
        <v>211.77571499999999</v>
      </c>
      <c r="J9" s="4">
        <v>554.59660499999995</v>
      </c>
    </row>
    <row r="10" spans="1:15">
      <c r="A10" s="104">
        <v>2005</v>
      </c>
      <c r="B10" s="4">
        <v>38.879424999999998</v>
      </c>
      <c r="C10" s="4">
        <v>13.05195</v>
      </c>
      <c r="D10" s="4">
        <v>51.931375000000003</v>
      </c>
      <c r="E10" s="4">
        <v>328.91332499999999</v>
      </c>
      <c r="F10" s="4">
        <v>206.40981500000001</v>
      </c>
      <c r="G10" s="4">
        <v>535.32313999999997</v>
      </c>
      <c r="H10" s="4">
        <v>367.79274999999996</v>
      </c>
      <c r="I10" s="4">
        <v>219.46176500000001</v>
      </c>
      <c r="J10" s="4">
        <v>587.25451499999997</v>
      </c>
    </row>
    <row r="11" spans="1:15">
      <c r="A11" s="104">
        <v>2006</v>
      </c>
      <c r="B11" s="4">
        <v>47.247124999999997</v>
      </c>
      <c r="C11" s="4">
        <v>11.062525000000001</v>
      </c>
      <c r="D11" s="4">
        <v>58.309649999999998</v>
      </c>
      <c r="E11" s="4">
        <v>343.92626000000001</v>
      </c>
      <c r="F11" s="4">
        <v>177.65483499999999</v>
      </c>
      <c r="G11" s="4">
        <v>721.581095</v>
      </c>
      <c r="H11" s="4">
        <v>391.173385</v>
      </c>
      <c r="I11" s="4">
        <v>188.71735999999999</v>
      </c>
      <c r="J11" s="4">
        <v>779.89074500000004</v>
      </c>
      <c r="K11" t="s">
        <v>206</v>
      </c>
    </row>
    <row r="12" spans="1:15">
      <c r="A12" s="104">
        <v>2007</v>
      </c>
      <c r="B12" s="4">
        <v>56.428955000000002</v>
      </c>
      <c r="C12" s="4">
        <v>12.592445</v>
      </c>
      <c r="D12" s="4">
        <v>69.0214</v>
      </c>
      <c r="E12" s="4">
        <v>371.63799499999999</v>
      </c>
      <c r="F12" s="4">
        <v>304.14163000000002</v>
      </c>
      <c r="G12" s="4">
        <v>675.77962500000001</v>
      </c>
      <c r="H12" s="4">
        <v>428.06695000000002</v>
      </c>
      <c r="I12" s="4">
        <v>316.73407500000002</v>
      </c>
      <c r="J12" s="4">
        <v>744.80102499999998</v>
      </c>
    </row>
    <row r="13" spans="1:15">
      <c r="A13" s="104">
        <v>2008</v>
      </c>
      <c r="B13" s="4">
        <v>65.473060000000004</v>
      </c>
      <c r="C13" s="4">
        <v>13.831395000000001</v>
      </c>
      <c r="D13" s="4">
        <v>79.304455000000004</v>
      </c>
      <c r="E13" s="4">
        <v>369.32648</v>
      </c>
      <c r="F13" s="4">
        <v>254.47709</v>
      </c>
      <c r="G13" s="4">
        <v>623.80357000000004</v>
      </c>
      <c r="H13" s="4">
        <v>434.79953999999998</v>
      </c>
      <c r="I13" s="4">
        <v>268.30848500000002</v>
      </c>
      <c r="J13" s="4">
        <v>703.108025</v>
      </c>
    </row>
    <row r="14" spans="1:15">
      <c r="A14" s="104">
        <v>2009</v>
      </c>
      <c r="B14" s="4">
        <v>60.083964999999999</v>
      </c>
      <c r="C14" s="4">
        <v>13.03721</v>
      </c>
      <c r="D14" s="4">
        <v>73.121174999999994</v>
      </c>
      <c r="E14" s="4">
        <v>354.800185</v>
      </c>
      <c r="F14" s="4">
        <v>254.06647000000001</v>
      </c>
      <c r="G14" s="4">
        <v>608.86665500000004</v>
      </c>
      <c r="H14" s="4">
        <v>414.88414999999998</v>
      </c>
      <c r="I14" s="4">
        <v>267.10368</v>
      </c>
      <c r="J14" s="4">
        <v>681.98783000000003</v>
      </c>
    </row>
    <row r="15" spans="1:15">
      <c r="A15" s="104">
        <v>2010</v>
      </c>
      <c r="B15" s="4">
        <v>69.54204</v>
      </c>
      <c r="C15" s="4">
        <v>39.737139999999997</v>
      </c>
      <c r="D15" s="4">
        <v>109.27918</v>
      </c>
      <c r="E15" s="4">
        <v>410.60825999999997</v>
      </c>
      <c r="F15" s="4">
        <v>249.83248</v>
      </c>
      <c r="G15" s="4">
        <v>660.44074000000001</v>
      </c>
      <c r="H15" s="4">
        <v>480.15029999999996</v>
      </c>
      <c r="I15" s="4">
        <v>289.56961999999999</v>
      </c>
      <c r="J15" s="4">
        <v>769.71992</v>
      </c>
    </row>
    <row r="16" spans="1:15">
      <c r="A16" s="104">
        <v>2011</v>
      </c>
      <c r="B16" s="4">
        <v>88.776480000000006</v>
      </c>
      <c r="C16" s="4">
        <v>11.747854999999999</v>
      </c>
      <c r="D16" s="4">
        <v>100.52433499999999</v>
      </c>
      <c r="E16" s="4">
        <v>276.17411499999997</v>
      </c>
      <c r="F16" s="4">
        <v>242.36243999999999</v>
      </c>
      <c r="G16" s="4">
        <v>518.53655499999991</v>
      </c>
      <c r="H16" s="4">
        <v>364.95059499999996</v>
      </c>
      <c r="I16" s="4">
        <v>254.11029499999998</v>
      </c>
      <c r="J16" s="4">
        <v>619.06088999999986</v>
      </c>
      <c r="K16" t="s">
        <v>207</v>
      </c>
    </row>
    <row r="17" spans="1:11">
      <c r="A17" s="104">
        <v>2012</v>
      </c>
      <c r="B17" s="4">
        <v>81.644180000000006</v>
      </c>
      <c r="C17" s="4">
        <v>11.572195000000001</v>
      </c>
      <c r="D17" s="4">
        <v>93.216374999999999</v>
      </c>
      <c r="E17" s="4">
        <v>369.17628500000001</v>
      </c>
      <c r="F17" s="4">
        <v>243.26148000000001</v>
      </c>
      <c r="G17" s="4">
        <v>612.43776500000001</v>
      </c>
      <c r="H17" s="4">
        <v>450.82046500000001</v>
      </c>
      <c r="I17" s="4">
        <v>254.833675</v>
      </c>
      <c r="J17" s="4">
        <v>705.65413999999998</v>
      </c>
    </row>
    <row r="18" spans="1:11">
      <c r="A18" s="104">
        <v>2013</v>
      </c>
      <c r="B18" s="4">
        <v>82.2</v>
      </c>
      <c r="C18" s="4">
        <v>29.5</v>
      </c>
      <c r="D18" s="4">
        <v>111.7</v>
      </c>
      <c r="E18" s="4">
        <v>418.4</v>
      </c>
      <c r="F18" s="4">
        <v>219.4</v>
      </c>
      <c r="G18" s="4">
        <v>637.79999999999995</v>
      </c>
      <c r="H18" s="4">
        <v>500.59999999999997</v>
      </c>
      <c r="I18" s="4">
        <v>248.9</v>
      </c>
      <c r="J18" s="4">
        <v>749.5</v>
      </c>
    </row>
    <row r="19" spans="1:11">
      <c r="A19" s="104">
        <v>2014</v>
      </c>
      <c r="B19" s="4">
        <v>63.778525000000002</v>
      </c>
      <c r="C19" s="4">
        <v>11.819654999999999</v>
      </c>
      <c r="D19" s="4">
        <v>75.598179999999999</v>
      </c>
      <c r="E19" s="4">
        <v>477.067745</v>
      </c>
      <c r="F19" s="4">
        <v>250.38424499999999</v>
      </c>
      <c r="G19" s="4">
        <v>727.45199000000002</v>
      </c>
      <c r="H19" s="4">
        <v>540.84627</v>
      </c>
      <c r="I19" s="4">
        <v>262.20389999999998</v>
      </c>
      <c r="J19" s="4">
        <v>803.05016999999998</v>
      </c>
    </row>
    <row r="20" spans="1:11">
      <c r="A20" s="104">
        <v>2015</v>
      </c>
      <c r="B20" s="4">
        <v>68.484084999999993</v>
      </c>
      <c r="C20" s="4">
        <v>12.403779999999999</v>
      </c>
      <c r="D20" s="4">
        <v>80.887865000000005</v>
      </c>
      <c r="E20" s="4">
        <v>468.69571000000002</v>
      </c>
      <c r="F20" s="4">
        <v>240.98949500000001</v>
      </c>
      <c r="G20" s="4">
        <v>709.685205</v>
      </c>
      <c r="H20" s="4">
        <v>537.17979500000001</v>
      </c>
      <c r="I20" s="4">
        <v>253.39327500000002</v>
      </c>
      <c r="J20" s="4">
        <v>790.57307000000003</v>
      </c>
    </row>
    <row r="21" spans="1:11">
      <c r="A21" s="104">
        <v>2016</v>
      </c>
      <c r="B21" s="4">
        <v>79.538499999999999</v>
      </c>
      <c r="C21" s="4">
        <v>22.336690000000001</v>
      </c>
      <c r="D21" s="4">
        <v>101.87519</v>
      </c>
      <c r="E21" s="4">
        <v>471.00695999999999</v>
      </c>
      <c r="F21" s="4">
        <v>277.69580500000001</v>
      </c>
      <c r="G21" s="4">
        <v>748.702765</v>
      </c>
      <c r="H21" s="4">
        <v>550.54546000000005</v>
      </c>
      <c r="I21" s="4">
        <v>300.03249499999998</v>
      </c>
      <c r="J21" s="4">
        <v>850.57795499999997</v>
      </c>
    </row>
    <row r="22" spans="1:11">
      <c r="A22" s="104">
        <v>2017</v>
      </c>
      <c r="B22" s="4">
        <v>77.231845000000007</v>
      </c>
      <c r="C22" s="4">
        <v>10.341570000000001</v>
      </c>
      <c r="D22" s="4">
        <v>87.573414999999997</v>
      </c>
      <c r="E22" s="4">
        <v>527.958305</v>
      </c>
      <c r="F22" s="4">
        <v>299.28195499999998</v>
      </c>
      <c r="G22" s="4">
        <v>827.24026000000003</v>
      </c>
      <c r="H22" s="4">
        <v>605.19015000000002</v>
      </c>
      <c r="I22" s="4">
        <v>309.62352499999997</v>
      </c>
      <c r="J22" s="4">
        <v>914.81367499999999</v>
      </c>
    </row>
    <row r="23" spans="1:11">
      <c r="A23" s="104">
        <v>2018</v>
      </c>
      <c r="B23" s="4">
        <v>118.601015</v>
      </c>
      <c r="C23" s="4">
        <v>19.084734999999998</v>
      </c>
      <c r="D23" s="4">
        <v>137.68575000000001</v>
      </c>
      <c r="E23" s="4">
        <v>575.72621500000002</v>
      </c>
      <c r="F23" s="4">
        <v>301.83013</v>
      </c>
      <c r="G23" s="4">
        <v>877.55634499999996</v>
      </c>
      <c r="H23" s="4">
        <v>694.32722999999999</v>
      </c>
      <c r="I23" s="4">
        <v>320.91486500000002</v>
      </c>
      <c r="J23" s="4">
        <v>1015.2420949999999</v>
      </c>
    </row>
    <row r="24" spans="1:11">
      <c r="A24" s="104">
        <v>2019</v>
      </c>
      <c r="B24" s="4">
        <v>137.57640499999999</v>
      </c>
      <c r="C24" s="4">
        <v>9.5136950000000002</v>
      </c>
      <c r="D24" s="4">
        <v>147.09010000000001</v>
      </c>
      <c r="E24" s="4">
        <v>594.79909999999995</v>
      </c>
      <c r="F24" s="4">
        <v>280.94964000000004</v>
      </c>
      <c r="G24" s="4">
        <v>875.74874</v>
      </c>
      <c r="H24" s="4">
        <v>732.37550499999998</v>
      </c>
      <c r="I24" s="4">
        <v>290.46333500000003</v>
      </c>
      <c r="J24" s="4">
        <v>1022.83884</v>
      </c>
      <c r="K24" t="s">
        <v>208</v>
      </c>
    </row>
    <row r="25" spans="1:11">
      <c r="A25" s="104">
        <v>2020</v>
      </c>
      <c r="B25" s="4">
        <v>155.90310500000001</v>
      </c>
      <c r="C25" s="4">
        <v>20.90494</v>
      </c>
      <c r="D25" s="4">
        <v>176.80804499999999</v>
      </c>
      <c r="E25" s="4">
        <v>624.61627499999997</v>
      </c>
      <c r="F25" s="4">
        <v>300.61371000000003</v>
      </c>
      <c r="G25" s="4">
        <v>925.22998500000006</v>
      </c>
      <c r="H25" s="4">
        <v>780.51937999999996</v>
      </c>
      <c r="I25" s="4">
        <v>321.51865000000004</v>
      </c>
      <c r="J25" s="4">
        <v>1102.0380300000002</v>
      </c>
    </row>
    <row r="26" spans="1:11">
      <c r="A26" s="125">
        <v>2021</v>
      </c>
      <c r="B26" s="24">
        <v>173.51896500000001</v>
      </c>
      <c r="C26" s="24">
        <v>6.4293149999999999</v>
      </c>
      <c r="D26" s="24">
        <v>179.94828000000001</v>
      </c>
      <c r="E26" s="24">
        <v>704.36401499999999</v>
      </c>
      <c r="F26" s="24">
        <v>277.237685</v>
      </c>
      <c r="G26" s="24">
        <v>981.60170000000005</v>
      </c>
      <c r="H26" s="24">
        <v>877.88297999999998</v>
      </c>
      <c r="I26" s="24">
        <v>283.66699999999997</v>
      </c>
      <c r="J26" s="24">
        <v>1161.54998</v>
      </c>
      <c r="K26" s="31"/>
    </row>
    <row r="27" spans="1:11">
      <c r="A27" s="153" t="s">
        <v>209</v>
      </c>
      <c r="B27" s="153"/>
      <c r="C27" s="153"/>
      <c r="D27" s="153"/>
      <c r="E27" s="153"/>
      <c r="F27" s="153"/>
      <c r="G27" s="153"/>
      <c r="H27" s="153"/>
      <c r="I27" s="153"/>
      <c r="J27" s="153"/>
      <c r="K27" s="153"/>
    </row>
  </sheetData>
  <mergeCells count="6">
    <mergeCell ref="A27:K27"/>
    <mergeCell ref="A3:A4"/>
    <mergeCell ref="B3:D3"/>
    <mergeCell ref="E3:G3"/>
    <mergeCell ref="H3:J3"/>
    <mergeCell ref="K3:K4"/>
  </mergeCells>
  <hyperlinks>
    <hyperlink ref="O1" location="Índice!A1" display="Volver al índice" xr:uid="{00000000-0004-0000-1D00-000000000000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29E6D1"/>
  </sheetPr>
  <dimension ref="A1:O24"/>
  <sheetViews>
    <sheetView workbookViewId="0">
      <selection activeCell="O1" sqref="O1"/>
    </sheetView>
  </sheetViews>
  <sheetFormatPr defaultColWidth="8.7109375" defaultRowHeight="15"/>
  <cols>
    <col min="4" max="4" width="15.140625" customWidth="1"/>
    <col min="5" max="5" width="14.85546875" customWidth="1"/>
    <col min="6" max="6" width="14.42578125" customWidth="1"/>
    <col min="7" max="7" width="17" customWidth="1"/>
  </cols>
  <sheetData>
    <row r="1" spans="1:15" ht="18.75">
      <c r="A1" s="13" t="s">
        <v>210</v>
      </c>
      <c r="O1" s="103" t="s">
        <v>44</v>
      </c>
    </row>
    <row r="3" spans="1:15" ht="45">
      <c r="A3" s="115"/>
      <c r="B3" s="116" t="s">
        <v>211</v>
      </c>
      <c r="C3" s="117" t="s">
        <v>212</v>
      </c>
      <c r="D3" s="117" t="s">
        <v>213</v>
      </c>
      <c r="E3" s="117" t="s">
        <v>214</v>
      </c>
      <c r="F3" s="117" t="s">
        <v>215</v>
      </c>
      <c r="G3" s="117" t="s">
        <v>216</v>
      </c>
    </row>
    <row r="4" spans="1:15">
      <c r="A4" s="109">
        <v>2001</v>
      </c>
      <c r="B4" s="110">
        <v>12282.533600086599</v>
      </c>
      <c r="C4" s="111">
        <v>2298.3000000000002</v>
      </c>
      <c r="D4" s="112">
        <v>14315.133600086599</v>
      </c>
      <c r="E4" s="111">
        <v>5514.16</v>
      </c>
      <c r="F4" s="113">
        <v>0.44894320500463536</v>
      </c>
      <c r="G4" s="113">
        <v>0.38519794184572903</v>
      </c>
    </row>
    <row r="5" spans="1:15">
      <c r="A5" s="109">
        <v>2002</v>
      </c>
      <c r="B5" s="114">
        <v>12664.1902706247</v>
      </c>
      <c r="C5" s="111">
        <v>2022.9</v>
      </c>
      <c r="D5" s="112">
        <v>14363.6902706247</v>
      </c>
      <c r="E5" s="111">
        <v>6391.9</v>
      </c>
      <c r="F5" s="113">
        <v>0.50472235993061243</v>
      </c>
      <c r="G5" s="113">
        <v>0.44500402609433359</v>
      </c>
    </row>
    <row r="6" spans="1:15">
      <c r="A6" s="109">
        <v>2003</v>
      </c>
      <c r="B6" s="110">
        <v>13243.8921692233</v>
      </c>
      <c r="C6" s="111">
        <v>2114.2600000000002</v>
      </c>
      <c r="D6" s="112">
        <v>14935.112169223299</v>
      </c>
      <c r="E6" s="111">
        <v>7125.47</v>
      </c>
      <c r="F6" s="113">
        <v>0.53801933064348406</v>
      </c>
      <c r="G6" s="113">
        <v>0.47709517807863644</v>
      </c>
    </row>
    <row r="7" spans="1:15">
      <c r="A7" s="109">
        <v>2004</v>
      </c>
      <c r="B7" s="110">
        <v>13724.810917389799</v>
      </c>
      <c r="C7" s="111">
        <v>2555</v>
      </c>
      <c r="D7" s="112">
        <v>15821.880917389801</v>
      </c>
      <c r="E7" s="111">
        <v>7305</v>
      </c>
      <c r="F7" s="113">
        <v>0.53224776967559662</v>
      </c>
      <c r="G7" s="113">
        <v>0.4617023752195662</v>
      </c>
    </row>
    <row r="8" spans="1:15">
      <c r="A8" s="109">
        <v>2005</v>
      </c>
      <c r="B8" s="110">
        <v>14698.0014197333</v>
      </c>
      <c r="C8" s="111">
        <v>3034.8</v>
      </c>
      <c r="D8" s="112">
        <v>17242.5014197333</v>
      </c>
      <c r="E8" s="111">
        <v>7721.96</v>
      </c>
      <c r="F8" s="113">
        <v>0.52537483018831532</v>
      </c>
      <c r="G8" s="113">
        <v>0.44784453322779194</v>
      </c>
    </row>
    <row r="9" spans="1:15">
      <c r="A9" s="109">
        <v>2006</v>
      </c>
      <c r="B9" s="110">
        <v>15999.886382901899</v>
      </c>
      <c r="C9" s="111">
        <v>3472.02</v>
      </c>
      <c r="D9" s="112">
        <v>19034.386382901899</v>
      </c>
      <c r="E9" s="111">
        <v>8373.99</v>
      </c>
      <c r="F9" s="113">
        <v>0.52337809154374815</v>
      </c>
      <c r="G9" s="113">
        <v>0.43994010794706467</v>
      </c>
    </row>
    <row r="10" spans="1:15">
      <c r="A10" s="109">
        <v>2007</v>
      </c>
      <c r="B10" s="110">
        <v>17011.750853710499</v>
      </c>
      <c r="C10" s="111">
        <v>3745.59</v>
      </c>
      <c r="D10" s="112">
        <v>20301.090853710499</v>
      </c>
      <c r="E10" s="111">
        <v>8652.43</v>
      </c>
      <c r="F10" s="113">
        <v>0.50861490239335272</v>
      </c>
      <c r="G10" s="113">
        <v>0.42620517598533708</v>
      </c>
    </row>
    <row r="11" spans="1:15">
      <c r="A11" s="109">
        <v>2008</v>
      </c>
      <c r="B11" s="110">
        <v>17986.8862428623</v>
      </c>
      <c r="C11" s="111">
        <v>3746.62</v>
      </c>
      <c r="D11" s="112">
        <v>21344.456242862299</v>
      </c>
      <c r="E11" s="111">
        <v>9723.59</v>
      </c>
      <c r="F11" s="113">
        <v>0.54059328939485529</v>
      </c>
      <c r="G11" s="113">
        <v>0.45555576067915154</v>
      </c>
    </row>
    <row r="12" spans="1:15">
      <c r="A12" s="109">
        <v>2009</v>
      </c>
      <c r="B12" s="110">
        <v>17601.616010157999</v>
      </c>
      <c r="C12" s="111">
        <v>3441.83</v>
      </c>
      <c r="D12" s="112">
        <v>20487.476010158</v>
      </c>
      <c r="E12" s="111">
        <v>11173.54</v>
      </c>
      <c r="F12" s="113">
        <v>0.63480194054634997</v>
      </c>
      <c r="G12" s="113">
        <v>0.5453839211067284</v>
      </c>
    </row>
    <row r="13" spans="1:15">
      <c r="A13" s="109">
        <v>2010</v>
      </c>
      <c r="B13" s="110">
        <v>18447.922436218301</v>
      </c>
      <c r="C13" s="111">
        <v>3629.3</v>
      </c>
      <c r="D13" s="112">
        <v>21539.012436218301</v>
      </c>
      <c r="E13" s="111">
        <v>11778.32</v>
      </c>
      <c r="F13" s="113">
        <v>0.63846322211741013</v>
      </c>
      <c r="G13" s="113">
        <v>0.54683658477277752</v>
      </c>
    </row>
    <row r="14" spans="1:15">
      <c r="A14" s="109">
        <v>2011</v>
      </c>
      <c r="B14" s="110">
        <v>20283.7836605663</v>
      </c>
      <c r="C14" s="111">
        <v>3829.53</v>
      </c>
      <c r="D14" s="112">
        <v>23495.073660566301</v>
      </c>
      <c r="E14" s="111">
        <v>12951.2</v>
      </c>
      <c r="F14" s="113">
        <v>0.63850020374543959</v>
      </c>
      <c r="G14" s="113">
        <v>0.55123044886371464</v>
      </c>
    </row>
    <row r="15" spans="1:15">
      <c r="A15" s="109">
        <v>2012</v>
      </c>
      <c r="B15" s="110">
        <v>21386.153017945901</v>
      </c>
      <c r="C15" s="111">
        <v>4016.3</v>
      </c>
      <c r="D15" s="112">
        <v>24531.893017945898</v>
      </c>
      <c r="E15" s="111">
        <v>14493.11</v>
      </c>
      <c r="F15" s="113">
        <v>0.67768663152453379</v>
      </c>
      <c r="G15" s="113">
        <v>0.59078645049519041</v>
      </c>
    </row>
    <row r="16" spans="1:15">
      <c r="A16" s="109">
        <v>2013</v>
      </c>
      <c r="B16" s="110">
        <v>21990.9620512615</v>
      </c>
      <c r="C16" s="111">
        <v>4090.19</v>
      </c>
      <c r="D16" s="112">
        <v>25090.952051261502</v>
      </c>
      <c r="E16" s="111">
        <v>14888.18</v>
      </c>
      <c r="F16" s="113">
        <v>0.67701358245697796</v>
      </c>
      <c r="G16" s="113">
        <v>0.59336847679526239</v>
      </c>
    </row>
    <row r="17" spans="1:7">
      <c r="A17" s="109">
        <v>2014</v>
      </c>
      <c r="B17" s="110">
        <v>22593.4723956216</v>
      </c>
      <c r="C17" s="111">
        <v>4240.42</v>
      </c>
      <c r="D17" s="112">
        <v>25798.4523956216</v>
      </c>
      <c r="E17" s="111">
        <v>15691.24</v>
      </c>
      <c r="F17" s="113">
        <v>0.69450324966607668</v>
      </c>
      <c r="G17" s="113">
        <v>0.60822408101747405</v>
      </c>
    </row>
    <row r="18" spans="1:7">
      <c r="A18" s="109">
        <v>2015</v>
      </c>
      <c r="B18" s="111">
        <v>23438.240000000002</v>
      </c>
      <c r="C18" s="111">
        <v>4349.12</v>
      </c>
      <c r="D18" s="111">
        <v>26695.51</v>
      </c>
      <c r="E18" s="111">
        <v>16586.419999999998</v>
      </c>
      <c r="F18" s="113">
        <v>0.70766490999324172</v>
      </c>
      <c r="G18" s="113">
        <v>0.62131871614365108</v>
      </c>
    </row>
    <row r="19" spans="1:7">
      <c r="A19" s="109">
        <v>2016</v>
      </c>
      <c r="B19" s="111">
        <v>24191.43</v>
      </c>
      <c r="C19" s="111">
        <v>4542.3500000000004</v>
      </c>
      <c r="D19" s="111">
        <v>27487.4</v>
      </c>
      <c r="E19" s="111">
        <v>17558.22</v>
      </c>
      <c r="F19" s="113">
        <v>0.72580331133794074</v>
      </c>
      <c r="G19" s="113">
        <v>0.63877340163129293</v>
      </c>
    </row>
    <row r="20" spans="1:7">
      <c r="A20" s="109">
        <v>2017</v>
      </c>
      <c r="B20" s="111">
        <v>24979.19</v>
      </c>
      <c r="C20" s="111">
        <v>5034.5</v>
      </c>
      <c r="D20" s="111">
        <v>28626.07</v>
      </c>
      <c r="E20" s="111">
        <v>18372.72</v>
      </c>
      <c r="F20" s="113">
        <v>0.73552104772012228</v>
      </c>
      <c r="G20" s="113">
        <v>0.64181775563323928</v>
      </c>
    </row>
    <row r="21" spans="1:7">
      <c r="A21" s="109">
        <v>2018</v>
      </c>
      <c r="B21" s="111">
        <v>26020.85</v>
      </c>
      <c r="C21" s="111">
        <v>5369.24</v>
      </c>
      <c r="D21" s="111">
        <v>29920.01</v>
      </c>
      <c r="E21" s="111">
        <v>18974.68</v>
      </c>
      <c r="F21" s="113">
        <v>0.72921061379624419</v>
      </c>
      <c r="G21" s="113">
        <v>0.63418026932477634</v>
      </c>
    </row>
    <row r="22" spans="1:7">
      <c r="A22" s="109">
        <v>2019</v>
      </c>
      <c r="B22" s="111">
        <v>26896.66</v>
      </c>
      <c r="C22" s="111">
        <v>5643.6</v>
      </c>
      <c r="D22" s="111">
        <v>31202.87</v>
      </c>
      <c r="E22" s="111">
        <v>19808.349999999999</v>
      </c>
      <c r="F22" s="113">
        <v>0.73646133014285042</v>
      </c>
      <c r="G22" s="113">
        <v>0.63482461709451721</v>
      </c>
    </row>
    <row r="23" spans="1:7">
      <c r="A23" s="118">
        <v>2020</v>
      </c>
      <c r="B23" s="119">
        <v>24638.720000000001</v>
      </c>
      <c r="C23" s="119">
        <v>5959.91</v>
      </c>
      <c r="D23" s="119">
        <v>29284.86</v>
      </c>
      <c r="E23" s="119">
        <v>22625.53</v>
      </c>
      <c r="F23" s="120">
        <v>0.91829161579822316</v>
      </c>
      <c r="G23" s="120">
        <v>0.77260161052502896</v>
      </c>
    </row>
    <row r="24" spans="1:7" ht="30.75" customHeight="1">
      <c r="A24" s="158" t="s">
        <v>217</v>
      </c>
      <c r="B24" s="158"/>
      <c r="C24" s="158"/>
      <c r="D24" s="158"/>
      <c r="E24" s="158"/>
      <c r="F24" s="158"/>
      <c r="G24" s="158"/>
    </row>
  </sheetData>
  <mergeCells count="1">
    <mergeCell ref="A24:G24"/>
  </mergeCells>
  <hyperlinks>
    <hyperlink ref="A24" r:id="rId1" location="ancla1047" display="https://www.bcr.gob.sv/bcrsite/?cat=1000&amp;lang=es#ancla1047" xr:uid="{00000000-0004-0000-1E00-000000000000}"/>
    <hyperlink ref="O1" location="Índice!A1" display="Volver al índice" xr:uid="{00000000-0004-0000-1E00-000001000000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29E6D1"/>
  </sheetPr>
  <dimension ref="A1:Q25"/>
  <sheetViews>
    <sheetView workbookViewId="0">
      <selection activeCell="Q1" sqref="Q1"/>
    </sheetView>
  </sheetViews>
  <sheetFormatPr defaultColWidth="8.7109375" defaultRowHeight="15"/>
  <sheetData>
    <row r="1" spans="1:17" ht="18.75">
      <c r="A1" s="13" t="s">
        <v>218</v>
      </c>
      <c r="Q1" s="103" t="s">
        <v>44</v>
      </c>
    </row>
    <row r="3" spans="1:17">
      <c r="A3" s="159" t="s">
        <v>219</v>
      </c>
      <c r="B3" s="161" t="s">
        <v>220</v>
      </c>
      <c r="C3" s="161"/>
      <c r="D3" s="162" t="s">
        <v>221</v>
      </c>
      <c r="E3" s="162"/>
      <c r="F3" s="162" t="s">
        <v>222</v>
      </c>
      <c r="G3" s="162"/>
    </row>
    <row r="4" spans="1:17" ht="45">
      <c r="A4" s="160"/>
      <c r="B4" s="108" t="s">
        <v>223</v>
      </c>
      <c r="C4" s="108" t="s">
        <v>224</v>
      </c>
      <c r="D4" s="122" t="s">
        <v>225</v>
      </c>
      <c r="E4" s="122" t="s">
        <v>226</v>
      </c>
      <c r="F4" s="122" t="s">
        <v>225</v>
      </c>
      <c r="G4" s="122" t="s">
        <v>226</v>
      </c>
    </row>
    <row r="5" spans="1:17">
      <c r="A5" s="109">
        <v>2001</v>
      </c>
      <c r="B5" s="111">
        <v>1448.9</v>
      </c>
      <c r="C5" s="112">
        <v>1447.3</v>
      </c>
      <c r="D5" s="121">
        <v>0.11796426105358136</v>
      </c>
      <c r="E5" s="121">
        <v>0.11783399477041086</v>
      </c>
      <c r="F5" s="121">
        <v>0.10121456358543765</v>
      </c>
      <c r="G5" s="121">
        <v>0.10110279375885423</v>
      </c>
    </row>
    <row r="6" spans="1:17">
      <c r="A6" s="109">
        <v>2002</v>
      </c>
      <c r="B6" s="111">
        <v>1595.2</v>
      </c>
      <c r="C6" s="112">
        <v>1530.3</v>
      </c>
      <c r="D6" s="121">
        <v>0.12596146819589057</v>
      </c>
      <c r="E6" s="121">
        <v>0.12083678208385866</v>
      </c>
      <c r="F6" s="121">
        <v>0.11105781104611791</v>
      </c>
      <c r="G6" s="121">
        <v>0.10653947357314081</v>
      </c>
    </row>
    <row r="7" spans="1:17">
      <c r="A7" s="109">
        <v>2003</v>
      </c>
      <c r="B7" s="111">
        <v>1736.33</v>
      </c>
      <c r="C7" s="112">
        <v>1669.15</v>
      </c>
      <c r="D7" s="121">
        <v>0.13110420847694265</v>
      </c>
      <c r="E7" s="121">
        <v>0.12603168152326394</v>
      </c>
      <c r="F7" s="121">
        <v>0.11625824970890043</v>
      </c>
      <c r="G7" s="121">
        <v>0.11176012480439269</v>
      </c>
    </row>
    <row r="8" spans="1:17">
      <c r="A8" s="109">
        <v>2004</v>
      </c>
      <c r="B8" s="111">
        <v>1819.96</v>
      </c>
      <c r="C8" s="112">
        <v>1752.89</v>
      </c>
      <c r="D8" s="121">
        <v>0.1326036483092127</v>
      </c>
      <c r="E8" s="121">
        <v>0.12771687789002828</v>
      </c>
      <c r="F8" s="121">
        <v>0.11502804309440133</v>
      </c>
      <c r="G8" s="121">
        <v>0.11078897693341895</v>
      </c>
    </row>
    <row r="9" spans="1:17">
      <c r="A9" s="109">
        <v>2005</v>
      </c>
      <c r="B9" s="111">
        <v>2131.6799999999998</v>
      </c>
      <c r="C9" s="112">
        <v>2065.31</v>
      </c>
      <c r="D9" s="121">
        <v>0.14503196313058186</v>
      </c>
      <c r="E9" s="121">
        <v>0.14051638321568999</v>
      </c>
      <c r="F9" s="121">
        <v>0.12362939390919138</v>
      </c>
      <c r="G9" s="121">
        <v>0.11978018442476923</v>
      </c>
    </row>
    <row r="10" spans="1:17">
      <c r="A10" s="109">
        <v>2006</v>
      </c>
      <c r="B10" s="111">
        <v>2487.5500000000002</v>
      </c>
      <c r="C10" s="112">
        <v>2418.5300000000002</v>
      </c>
      <c r="D10" s="121">
        <v>0.15547297902429438</v>
      </c>
      <c r="E10" s="121">
        <v>0.15115919839184205</v>
      </c>
      <c r="F10" s="121">
        <v>0.13068716532067998</v>
      </c>
      <c r="G10" s="121">
        <v>0.12706109623646727</v>
      </c>
    </row>
    <row r="11" spans="1:17">
      <c r="A11" s="109">
        <v>2007</v>
      </c>
      <c r="B11" s="111">
        <v>2724.38</v>
      </c>
      <c r="C11" s="112">
        <v>2654.08</v>
      </c>
      <c r="D11" s="121">
        <v>0.16014694921338887</v>
      </c>
      <c r="E11" s="121">
        <v>0.15601451154694687</v>
      </c>
      <c r="F11" s="121">
        <v>0.13419869994336073</v>
      </c>
      <c r="G11" s="121">
        <v>0.13073583183905138</v>
      </c>
    </row>
    <row r="12" spans="1:17">
      <c r="A12" s="109">
        <v>2008</v>
      </c>
      <c r="B12" s="111">
        <v>2885.76</v>
      </c>
      <c r="C12" s="112">
        <v>2819.86</v>
      </c>
      <c r="D12" s="121">
        <v>0.16043688501922621</v>
      </c>
      <c r="E12" s="121">
        <v>0.15677310469003491</v>
      </c>
      <c r="F12" s="121">
        <v>0.13519950881695633</v>
      </c>
      <c r="G12" s="121">
        <v>0.13211205607277893</v>
      </c>
    </row>
    <row r="13" spans="1:17">
      <c r="A13" s="109">
        <v>2009</v>
      </c>
      <c r="B13" s="111">
        <v>2609.4499999999998</v>
      </c>
      <c r="C13" s="112">
        <v>2541.3200000000002</v>
      </c>
      <c r="D13" s="121">
        <v>0.1482505923600464</v>
      </c>
      <c r="E13" s="121">
        <v>0.1443799250326441</v>
      </c>
      <c r="F13" s="121">
        <v>0.12736805640217444</v>
      </c>
      <c r="G13" s="121">
        <v>0.12404261016535055</v>
      </c>
    </row>
    <row r="14" spans="1:17">
      <c r="A14" s="109">
        <v>2010</v>
      </c>
      <c r="B14" s="111">
        <v>2882.8</v>
      </c>
      <c r="C14" s="112">
        <v>2813.81</v>
      </c>
      <c r="D14" s="121">
        <v>0.15626691894260558</v>
      </c>
      <c r="E14" s="121">
        <v>0.15252720243856424</v>
      </c>
      <c r="F14" s="121">
        <v>0.13384086241356691</v>
      </c>
      <c r="G14" s="121">
        <v>0.13063783719575367</v>
      </c>
    </row>
    <row r="15" spans="1:17">
      <c r="A15" s="109">
        <v>2011</v>
      </c>
      <c r="B15" s="111">
        <v>3193.25</v>
      </c>
      <c r="C15" s="112">
        <v>3124.31</v>
      </c>
      <c r="D15" s="121">
        <v>0.15742871514686863</v>
      </c>
      <c r="E15" s="121">
        <v>0.15402994097565587</v>
      </c>
      <c r="F15" s="121">
        <v>0.13591147004401574</v>
      </c>
      <c r="G15" s="121">
        <v>0.13297723791535859</v>
      </c>
    </row>
    <row r="16" spans="1:17">
      <c r="A16" s="109">
        <v>2012</v>
      </c>
      <c r="B16" s="111">
        <v>3433.82</v>
      </c>
      <c r="C16" s="112">
        <v>3362.64</v>
      </c>
      <c r="D16" s="121">
        <v>0.16056277148669781</v>
      </c>
      <c r="E16" s="121">
        <v>0.15723444965432942</v>
      </c>
      <c r="F16" s="121">
        <v>0.13997370677786855</v>
      </c>
      <c r="G16" s="121">
        <v>0.13707217773777655</v>
      </c>
    </row>
    <row r="17" spans="1:7">
      <c r="A17" s="109">
        <v>2013</v>
      </c>
      <c r="B17" s="111">
        <v>3746.27</v>
      </c>
      <c r="C17" s="112">
        <v>3674.18</v>
      </c>
      <c r="D17" s="121">
        <v>0.17035498452806874</v>
      </c>
      <c r="E17" s="121">
        <v>0.16707681962414339</v>
      </c>
      <c r="F17" s="121">
        <v>0.14930760667615434</v>
      </c>
      <c r="G17" s="121">
        <v>0.1464344594216094</v>
      </c>
    </row>
    <row r="18" spans="1:7">
      <c r="A18" s="109">
        <v>2014</v>
      </c>
      <c r="B18" s="111">
        <v>3771.52</v>
      </c>
      <c r="C18" s="112">
        <v>3697.96</v>
      </c>
      <c r="D18" s="121">
        <v>0.16692963055696053</v>
      </c>
      <c r="E18" s="121">
        <v>0.16367382291872185</v>
      </c>
      <c r="F18" s="121">
        <v>0.14619171499760528</v>
      </c>
      <c r="G18" s="121">
        <v>0.14334038117060083</v>
      </c>
    </row>
    <row r="19" spans="1:7">
      <c r="A19" s="109">
        <v>2015</v>
      </c>
      <c r="B19" s="111">
        <v>3917.53</v>
      </c>
      <c r="C19" s="112">
        <v>3837.91</v>
      </c>
      <c r="D19" s="121">
        <v>0.16714266941545097</v>
      </c>
      <c r="E19" s="121">
        <v>0.1637456566704667</v>
      </c>
      <c r="F19" s="121">
        <v>0.14674864799361392</v>
      </c>
      <c r="G19" s="121">
        <v>0.14376612396616509</v>
      </c>
    </row>
    <row r="20" spans="1:7">
      <c r="A20" s="109">
        <v>2016</v>
      </c>
      <c r="B20" s="111">
        <v>4166.38</v>
      </c>
      <c r="C20" s="112">
        <v>4080.83</v>
      </c>
      <c r="D20" s="121">
        <v>0.17222545339403253</v>
      </c>
      <c r="E20" s="121">
        <v>0.16868907708225597</v>
      </c>
      <c r="F20" s="121">
        <v>0.15157417580418664</v>
      </c>
      <c r="G20" s="121">
        <v>0.14846184069791976</v>
      </c>
    </row>
    <row r="21" spans="1:7">
      <c r="A21" s="109">
        <v>2017</v>
      </c>
      <c r="B21" s="111">
        <v>4406.82</v>
      </c>
      <c r="C21" s="112">
        <v>4317.82</v>
      </c>
      <c r="D21" s="121">
        <v>0.17641965171809013</v>
      </c>
      <c r="E21" s="121">
        <v>0.17285668590534761</v>
      </c>
      <c r="F21" s="121">
        <v>0.15394428924403525</v>
      </c>
      <c r="G21" s="121">
        <v>0.15083523515452871</v>
      </c>
    </row>
    <row r="22" spans="1:7">
      <c r="A22" s="109">
        <v>2018</v>
      </c>
      <c r="B22" s="111">
        <v>4680.07</v>
      </c>
      <c r="C22" s="112">
        <v>4587.24</v>
      </c>
      <c r="D22" s="121">
        <v>0.17985845965831246</v>
      </c>
      <c r="E22" s="121">
        <v>0.17629093592253905</v>
      </c>
      <c r="F22" s="121">
        <v>0.15641939959244666</v>
      </c>
      <c r="G22" s="121">
        <v>0.15331679367754222</v>
      </c>
    </row>
    <row r="23" spans="1:7">
      <c r="A23" s="109">
        <v>2019</v>
      </c>
      <c r="B23" s="111">
        <v>4759.6000000000004</v>
      </c>
      <c r="C23" s="112">
        <v>4663.51</v>
      </c>
      <c r="D23" s="121">
        <v>0.17695877480698349</v>
      </c>
      <c r="E23" s="121">
        <v>0.1733862122657609</v>
      </c>
      <c r="F23" s="121">
        <v>0.1525372505798345</v>
      </c>
      <c r="G23" s="121">
        <v>0.14945772616429195</v>
      </c>
    </row>
    <row r="24" spans="1:7">
      <c r="A24" s="118">
        <v>2020</v>
      </c>
      <c r="B24" s="119">
        <v>4549.1099999999997</v>
      </c>
      <c r="C24" s="123">
        <v>4465.6400000000003</v>
      </c>
      <c r="D24" s="124">
        <v>0.18463256208114706</v>
      </c>
      <c r="E24" s="124">
        <v>0.18124480492493117</v>
      </c>
      <c r="F24" s="124">
        <v>0.15533999479594574</v>
      </c>
      <c r="G24" s="124">
        <v>0.15248971652929194</v>
      </c>
    </row>
    <row r="25" spans="1:7">
      <c r="A25" s="163" t="s">
        <v>227</v>
      </c>
      <c r="B25" s="163"/>
      <c r="C25" s="163"/>
      <c r="D25" s="163"/>
      <c r="E25" s="163"/>
      <c r="F25" s="163"/>
      <c r="G25" s="163"/>
    </row>
  </sheetData>
  <mergeCells count="5">
    <mergeCell ref="A3:A4"/>
    <mergeCell ref="B3:C3"/>
    <mergeCell ref="D3:E3"/>
    <mergeCell ref="F3:G3"/>
    <mergeCell ref="A25:G25"/>
  </mergeCells>
  <hyperlinks>
    <hyperlink ref="Q1" location="Índice!A1" display="Volver al índice" xr:uid="{00000000-0004-0000-1F00-000000000000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29E6D1"/>
  </sheetPr>
  <dimension ref="A1:N25"/>
  <sheetViews>
    <sheetView workbookViewId="0">
      <selection activeCell="L1" sqref="L1"/>
    </sheetView>
  </sheetViews>
  <sheetFormatPr defaultColWidth="8.7109375" defaultRowHeight="15"/>
  <cols>
    <col min="2" max="2" width="13.140625" customWidth="1"/>
    <col min="3" max="3" width="12.7109375" customWidth="1"/>
    <col min="4" max="4" width="13.28515625" customWidth="1"/>
    <col min="5" max="5" width="12" customWidth="1"/>
    <col min="6" max="6" width="14.140625" customWidth="1"/>
    <col min="7" max="7" width="16.85546875" customWidth="1"/>
    <col min="8" max="8" width="13.42578125" customWidth="1"/>
    <col min="9" max="9" width="15" customWidth="1"/>
    <col min="10" max="10" width="14.5703125" customWidth="1"/>
    <col min="11" max="11" width="11.85546875" customWidth="1"/>
    <col min="12" max="12" width="14.7109375" customWidth="1"/>
    <col min="13" max="13" width="14.140625" customWidth="1"/>
    <col min="14" max="14" width="23.42578125" customWidth="1"/>
  </cols>
  <sheetData>
    <row r="1" spans="1:14" ht="18.75">
      <c r="A1" s="13" t="s">
        <v>228</v>
      </c>
      <c r="L1" s="103" t="s">
        <v>44</v>
      </c>
    </row>
    <row r="3" spans="1:14" ht="45">
      <c r="A3" s="115"/>
      <c r="B3" s="117" t="s">
        <v>229</v>
      </c>
      <c r="C3" s="117" t="s">
        <v>230</v>
      </c>
      <c r="D3" s="117" t="s">
        <v>231</v>
      </c>
      <c r="E3" s="117" t="s">
        <v>232</v>
      </c>
      <c r="F3" s="117" t="s">
        <v>233</v>
      </c>
      <c r="G3" s="117" t="s">
        <v>234</v>
      </c>
      <c r="H3" s="117" t="s">
        <v>230</v>
      </c>
      <c r="I3" s="117" t="s">
        <v>235</v>
      </c>
      <c r="J3" s="117" t="s">
        <v>236</v>
      </c>
      <c r="K3" s="117" t="s">
        <v>237</v>
      </c>
      <c r="L3" s="117" t="s">
        <v>230</v>
      </c>
      <c r="M3" s="117" t="s">
        <v>235</v>
      </c>
      <c r="N3" s="117" t="s">
        <v>238</v>
      </c>
    </row>
    <row r="4" spans="1:14">
      <c r="A4" s="109">
        <v>2001</v>
      </c>
      <c r="B4" s="126">
        <v>5514.16</v>
      </c>
      <c r="C4" s="126">
        <v>4648.01</v>
      </c>
      <c r="D4" s="126">
        <v>370.74</v>
      </c>
      <c r="E4" s="126">
        <v>745.96</v>
      </c>
      <c r="F4" s="126">
        <v>120.2</v>
      </c>
      <c r="G4" s="126">
        <v>3147.7</v>
      </c>
      <c r="H4" s="126">
        <v>2988.3</v>
      </c>
      <c r="I4" s="126">
        <v>39.200000000000003</v>
      </c>
      <c r="J4" s="126">
        <v>120.2</v>
      </c>
      <c r="K4" s="126">
        <v>2366.46</v>
      </c>
      <c r="L4" s="126">
        <v>1659.7</v>
      </c>
      <c r="M4" s="126">
        <v>706.76</v>
      </c>
      <c r="N4" s="126">
        <v>0</v>
      </c>
    </row>
    <row r="5" spans="1:14">
      <c r="A5" s="109">
        <v>2002</v>
      </c>
      <c r="B5" s="126">
        <v>6391.9</v>
      </c>
      <c r="C5" s="126">
        <v>5546.9</v>
      </c>
      <c r="D5" s="126">
        <v>466.6</v>
      </c>
      <c r="E5" s="126">
        <v>749.6</v>
      </c>
      <c r="F5" s="126">
        <v>95.4</v>
      </c>
      <c r="G5" s="126">
        <v>3987.1</v>
      </c>
      <c r="H5" s="126">
        <v>3859.3</v>
      </c>
      <c r="I5" s="126">
        <v>32.4</v>
      </c>
      <c r="J5" s="126">
        <v>95.4</v>
      </c>
      <c r="K5" s="126">
        <v>2404.8000000000002</v>
      </c>
      <c r="L5" s="126">
        <v>1687.6</v>
      </c>
      <c r="M5" s="126">
        <v>717.2</v>
      </c>
      <c r="N5" s="126">
        <v>0</v>
      </c>
    </row>
    <row r="6" spans="1:14">
      <c r="A6" s="109">
        <v>2003</v>
      </c>
      <c r="B6" s="126">
        <v>7125.47</v>
      </c>
      <c r="C6" s="126">
        <v>6087.18</v>
      </c>
      <c r="D6" s="126">
        <v>454.37</v>
      </c>
      <c r="E6" s="126">
        <v>775.79</v>
      </c>
      <c r="F6" s="126">
        <v>262.5</v>
      </c>
      <c r="G6" s="126">
        <v>4717.2</v>
      </c>
      <c r="H6" s="126">
        <v>4354.8999999999996</v>
      </c>
      <c r="I6" s="126">
        <v>99.8</v>
      </c>
      <c r="J6" s="126">
        <v>262.5</v>
      </c>
      <c r="K6" s="126">
        <v>2408.27</v>
      </c>
      <c r="L6" s="126">
        <v>1732.28</v>
      </c>
      <c r="M6" s="126">
        <v>675.99</v>
      </c>
      <c r="N6" s="126">
        <v>0</v>
      </c>
    </row>
    <row r="7" spans="1:14">
      <c r="A7" s="109">
        <v>2004</v>
      </c>
      <c r="B7" s="126">
        <v>7305</v>
      </c>
      <c r="C7" s="126">
        <v>6425</v>
      </c>
      <c r="D7" s="126">
        <v>377.7</v>
      </c>
      <c r="E7" s="126">
        <v>682.1</v>
      </c>
      <c r="F7" s="126">
        <v>197.9</v>
      </c>
      <c r="G7" s="126">
        <v>4777.8999999999996</v>
      </c>
      <c r="H7" s="126">
        <v>4512.8</v>
      </c>
      <c r="I7" s="126">
        <v>67.2</v>
      </c>
      <c r="J7" s="126">
        <v>197.9</v>
      </c>
      <c r="K7" s="126">
        <v>2527.1</v>
      </c>
      <c r="L7" s="126">
        <v>1912.2</v>
      </c>
      <c r="M7" s="126">
        <v>614.9</v>
      </c>
      <c r="N7" s="126">
        <v>0</v>
      </c>
    </row>
    <row r="8" spans="1:14">
      <c r="A8" s="109">
        <v>2005</v>
      </c>
      <c r="B8" s="126">
        <v>7721.96</v>
      </c>
      <c r="C8" s="126">
        <v>6803.16</v>
      </c>
      <c r="D8" s="126">
        <v>353.44</v>
      </c>
      <c r="E8" s="126">
        <v>723.5</v>
      </c>
      <c r="F8" s="126">
        <v>195.3</v>
      </c>
      <c r="G8" s="126">
        <v>4976.1000000000004</v>
      </c>
      <c r="H8" s="126">
        <v>4620.6000000000004</v>
      </c>
      <c r="I8" s="126">
        <v>160.19999999999999</v>
      </c>
      <c r="J8" s="126">
        <v>195.3</v>
      </c>
      <c r="K8" s="126">
        <v>2745.86</v>
      </c>
      <c r="L8" s="126">
        <v>2182.56</v>
      </c>
      <c r="M8" s="126">
        <v>563.29999999999995</v>
      </c>
      <c r="N8" s="126">
        <v>0</v>
      </c>
    </row>
    <row r="9" spans="1:14">
      <c r="A9" s="109">
        <v>2006</v>
      </c>
      <c r="B9" s="126">
        <v>8373.99</v>
      </c>
      <c r="C9" s="126">
        <v>7416.87</v>
      </c>
      <c r="D9" s="126">
        <v>394.1</v>
      </c>
      <c r="E9" s="126">
        <v>860.92</v>
      </c>
      <c r="F9" s="126">
        <v>96.2</v>
      </c>
      <c r="G9" s="126">
        <v>5692.6</v>
      </c>
      <c r="H9" s="126">
        <v>5398</v>
      </c>
      <c r="I9" s="126">
        <v>198.4</v>
      </c>
      <c r="J9" s="126">
        <v>96.2</v>
      </c>
      <c r="K9" s="126">
        <v>2681.39</v>
      </c>
      <c r="L9" s="126">
        <v>2018.87</v>
      </c>
      <c r="M9" s="126">
        <v>662.52</v>
      </c>
      <c r="N9" s="126">
        <v>90.79</v>
      </c>
    </row>
    <row r="10" spans="1:14">
      <c r="A10" s="109">
        <v>2007</v>
      </c>
      <c r="B10" s="126">
        <v>8652.43</v>
      </c>
      <c r="C10" s="126">
        <v>7460.93</v>
      </c>
      <c r="D10" s="126">
        <v>410.4</v>
      </c>
      <c r="E10" s="126">
        <v>1130.5</v>
      </c>
      <c r="F10" s="126">
        <v>61</v>
      </c>
      <c r="G10" s="126">
        <v>5444.3</v>
      </c>
      <c r="H10" s="126">
        <v>5281</v>
      </c>
      <c r="I10" s="126">
        <v>102.3</v>
      </c>
      <c r="J10" s="126">
        <v>61</v>
      </c>
      <c r="K10" s="126">
        <v>3208.13</v>
      </c>
      <c r="L10" s="126">
        <v>2179.9299999999998</v>
      </c>
      <c r="M10" s="126">
        <v>1028.2</v>
      </c>
      <c r="N10" s="126">
        <v>409.3</v>
      </c>
    </row>
    <row r="11" spans="1:14">
      <c r="A11" s="109">
        <v>2008</v>
      </c>
      <c r="B11" s="126">
        <v>9723.59</v>
      </c>
      <c r="C11" s="126">
        <v>7927.6</v>
      </c>
      <c r="D11" s="126">
        <v>509.35</v>
      </c>
      <c r="E11" s="126">
        <v>1470.69</v>
      </c>
      <c r="F11" s="126">
        <v>325.3</v>
      </c>
      <c r="G11" s="126">
        <v>5837.3</v>
      </c>
      <c r="H11" s="126">
        <v>5417.55</v>
      </c>
      <c r="I11" s="126">
        <v>94.45</v>
      </c>
      <c r="J11" s="126">
        <v>325.3</v>
      </c>
      <c r="K11" s="126">
        <v>3886.29</v>
      </c>
      <c r="L11" s="126">
        <v>2510.0500000000002</v>
      </c>
      <c r="M11" s="126">
        <v>1376.24</v>
      </c>
      <c r="N11" s="126">
        <v>725.21</v>
      </c>
    </row>
    <row r="12" spans="1:14">
      <c r="A12" s="109">
        <v>2009</v>
      </c>
      <c r="B12" s="126">
        <v>11173.54</v>
      </c>
      <c r="C12" s="126">
        <v>9332.52</v>
      </c>
      <c r="D12" s="126">
        <v>519.1</v>
      </c>
      <c r="E12" s="126">
        <v>1634.12</v>
      </c>
      <c r="F12" s="126">
        <v>206.9</v>
      </c>
      <c r="G12" s="126">
        <v>6550.3</v>
      </c>
      <c r="H12" s="126">
        <v>6237.5</v>
      </c>
      <c r="I12" s="126">
        <v>105.9</v>
      </c>
      <c r="J12" s="126">
        <v>206.9</v>
      </c>
      <c r="K12" s="126">
        <v>4623.24</v>
      </c>
      <c r="L12" s="126">
        <v>3095.02</v>
      </c>
      <c r="M12" s="126">
        <v>1528.22</v>
      </c>
      <c r="N12" s="126">
        <v>1063.1500000000001</v>
      </c>
    </row>
    <row r="13" spans="1:14">
      <c r="A13" s="109">
        <v>2010</v>
      </c>
      <c r="B13" s="126">
        <v>11778.32</v>
      </c>
      <c r="C13" s="126">
        <v>9669.2800000000007</v>
      </c>
      <c r="D13" s="126">
        <v>513.1</v>
      </c>
      <c r="E13" s="126">
        <v>1957.64</v>
      </c>
      <c r="F13" s="126">
        <v>151.4</v>
      </c>
      <c r="G13" s="126">
        <v>6831.4</v>
      </c>
      <c r="H13" s="126">
        <v>6579</v>
      </c>
      <c r="I13" s="126">
        <v>101</v>
      </c>
      <c r="J13" s="126">
        <v>151.4</v>
      </c>
      <c r="K13" s="126">
        <v>4946.92</v>
      </c>
      <c r="L13" s="126">
        <v>3090.28</v>
      </c>
      <c r="M13" s="126">
        <v>1856.64</v>
      </c>
      <c r="N13" s="126">
        <v>1407.36</v>
      </c>
    </row>
    <row r="14" spans="1:14">
      <c r="A14" s="109">
        <v>2011</v>
      </c>
      <c r="B14" s="126">
        <v>12951.2</v>
      </c>
      <c r="C14" s="126">
        <v>10204.1</v>
      </c>
      <c r="D14" s="126">
        <v>482.4</v>
      </c>
      <c r="E14" s="126">
        <v>2600.1</v>
      </c>
      <c r="F14" s="126">
        <v>147</v>
      </c>
      <c r="G14" s="126">
        <v>7141.6</v>
      </c>
      <c r="H14" s="126">
        <v>6720.6</v>
      </c>
      <c r="I14" s="126">
        <v>274</v>
      </c>
      <c r="J14" s="126">
        <v>147</v>
      </c>
      <c r="K14" s="126">
        <v>5809.6</v>
      </c>
      <c r="L14" s="126">
        <v>3483.5</v>
      </c>
      <c r="M14" s="126">
        <v>2326.1</v>
      </c>
      <c r="N14" s="126">
        <v>1796.94</v>
      </c>
    </row>
    <row r="15" spans="1:14">
      <c r="A15" s="109">
        <v>2012</v>
      </c>
      <c r="B15" s="126">
        <v>14493.11</v>
      </c>
      <c r="C15" s="126">
        <v>11402.57</v>
      </c>
      <c r="D15" s="126">
        <v>437.75</v>
      </c>
      <c r="E15" s="126">
        <v>2929.34</v>
      </c>
      <c r="F15" s="126">
        <v>161.19999999999999</v>
      </c>
      <c r="G15" s="126">
        <v>8050.3</v>
      </c>
      <c r="H15" s="126">
        <v>7631</v>
      </c>
      <c r="I15" s="126">
        <v>258.10000000000002</v>
      </c>
      <c r="J15" s="126">
        <v>161.19999999999999</v>
      </c>
      <c r="K15" s="126">
        <v>6442.81</v>
      </c>
      <c r="L15" s="126">
        <v>3771.57</v>
      </c>
      <c r="M15" s="126">
        <v>2671.24</v>
      </c>
      <c r="N15" s="126">
        <v>2193.36</v>
      </c>
    </row>
    <row r="16" spans="1:14">
      <c r="A16" s="109">
        <v>2013</v>
      </c>
      <c r="B16" s="126">
        <v>14888.18</v>
      </c>
      <c r="C16" s="126">
        <v>11282.5</v>
      </c>
      <c r="D16" s="126">
        <v>461.35</v>
      </c>
      <c r="E16" s="126">
        <v>3342.38</v>
      </c>
      <c r="F16" s="126">
        <v>263.3</v>
      </c>
      <c r="G16" s="126">
        <v>8069.7</v>
      </c>
      <c r="H16" s="126">
        <v>7596.1</v>
      </c>
      <c r="I16" s="126">
        <v>210.3</v>
      </c>
      <c r="J16" s="126">
        <v>263.3</v>
      </c>
      <c r="K16" s="126">
        <v>6818.48</v>
      </c>
      <c r="L16" s="126">
        <v>3686.4</v>
      </c>
      <c r="M16" s="126">
        <v>3132.08</v>
      </c>
      <c r="N16" s="126">
        <v>2608.2600000000002</v>
      </c>
    </row>
    <row r="17" spans="1:14">
      <c r="A17" s="109">
        <v>2014</v>
      </c>
      <c r="B17" s="126">
        <v>15691.24</v>
      </c>
      <c r="C17" s="126">
        <v>11712.5</v>
      </c>
      <c r="D17" s="126">
        <v>431.09</v>
      </c>
      <c r="E17" s="126">
        <v>3744.24</v>
      </c>
      <c r="F17" s="126">
        <v>234.5</v>
      </c>
      <c r="G17" s="126">
        <v>8959.4599999999991</v>
      </c>
      <c r="H17" s="126">
        <v>8512.9</v>
      </c>
      <c r="I17" s="126">
        <v>212.06</v>
      </c>
      <c r="J17" s="126">
        <v>234.5</v>
      </c>
      <c r="K17" s="126">
        <v>6731.78</v>
      </c>
      <c r="L17" s="126">
        <v>3199.6</v>
      </c>
      <c r="M17" s="126">
        <v>3532.18</v>
      </c>
      <c r="N17" s="126">
        <v>3040.04</v>
      </c>
    </row>
    <row r="18" spans="1:14">
      <c r="A18" s="109">
        <v>2015</v>
      </c>
      <c r="B18" s="126">
        <v>16586.419999999998</v>
      </c>
      <c r="C18" s="126">
        <v>12233.76</v>
      </c>
      <c r="D18" s="126">
        <v>504.66</v>
      </c>
      <c r="E18" s="126">
        <v>4196.46</v>
      </c>
      <c r="F18" s="126">
        <v>156.19999999999999</v>
      </c>
      <c r="G18" s="126">
        <v>8789.2199999999993</v>
      </c>
      <c r="H18" s="126">
        <v>8423.17</v>
      </c>
      <c r="I18" s="126">
        <v>209.86</v>
      </c>
      <c r="J18" s="126">
        <v>156.19999999999999</v>
      </c>
      <c r="K18" s="126">
        <v>7797.2</v>
      </c>
      <c r="L18" s="126">
        <v>3810.6</v>
      </c>
      <c r="M18" s="126">
        <v>3986.61</v>
      </c>
      <c r="N18" s="126">
        <v>3478.71</v>
      </c>
    </row>
    <row r="19" spans="1:14">
      <c r="A19" s="109">
        <v>2016</v>
      </c>
      <c r="B19" s="126">
        <v>17558.22</v>
      </c>
      <c r="C19" s="126">
        <v>12619.66</v>
      </c>
      <c r="D19" s="126">
        <v>572.89</v>
      </c>
      <c r="E19" s="126">
        <v>4725.76</v>
      </c>
      <c r="F19" s="126">
        <v>212.8</v>
      </c>
      <c r="G19" s="126">
        <v>9317.16</v>
      </c>
      <c r="H19" s="126">
        <v>8829.0300000000007</v>
      </c>
      <c r="I19" s="126">
        <v>275.33</v>
      </c>
      <c r="J19" s="126">
        <v>212.8</v>
      </c>
      <c r="K19" s="126">
        <v>8241.06</v>
      </c>
      <c r="L19" s="126">
        <v>3790.62</v>
      </c>
      <c r="M19" s="126">
        <v>4450.43</v>
      </c>
      <c r="N19" s="126">
        <v>4015.94</v>
      </c>
    </row>
    <row r="20" spans="1:14">
      <c r="A20" s="109">
        <v>2017</v>
      </c>
      <c r="B20" s="126">
        <v>18372.72</v>
      </c>
      <c r="C20" s="126">
        <v>13043.33</v>
      </c>
      <c r="D20" s="126">
        <v>829.8</v>
      </c>
      <c r="E20" s="126">
        <v>5177.3900000000003</v>
      </c>
      <c r="F20" s="126">
        <v>152</v>
      </c>
      <c r="G20" s="126">
        <v>9675.32</v>
      </c>
      <c r="H20" s="126">
        <v>9289.02</v>
      </c>
      <c r="I20" s="126">
        <v>234.3</v>
      </c>
      <c r="J20" s="126">
        <v>152</v>
      </c>
      <c r="K20" s="126">
        <v>8697.4</v>
      </c>
      <c r="L20" s="126">
        <v>3754.31</v>
      </c>
      <c r="M20" s="126">
        <v>4943.09</v>
      </c>
      <c r="N20" s="126">
        <v>4573.6099999999997</v>
      </c>
    </row>
    <row r="21" spans="1:14">
      <c r="A21" s="109">
        <v>2018</v>
      </c>
      <c r="B21" s="126">
        <v>18974.68</v>
      </c>
      <c r="C21" s="126">
        <v>13385.11</v>
      </c>
      <c r="D21" s="126">
        <v>802.75</v>
      </c>
      <c r="E21" s="126">
        <v>5475.94</v>
      </c>
      <c r="F21" s="126">
        <v>113.63</v>
      </c>
      <c r="G21" s="126">
        <v>9565.43</v>
      </c>
      <c r="H21" s="126">
        <v>9225.59</v>
      </c>
      <c r="I21" s="126">
        <v>226.21</v>
      </c>
      <c r="J21" s="126">
        <v>113.63</v>
      </c>
      <c r="K21" s="126">
        <v>9409.25</v>
      </c>
      <c r="L21" s="126">
        <v>4159.5200000000004</v>
      </c>
      <c r="M21" s="126">
        <v>5249.73</v>
      </c>
      <c r="N21" s="126">
        <v>4921.53</v>
      </c>
    </row>
    <row r="22" spans="1:14">
      <c r="A22" s="109">
        <v>2019</v>
      </c>
      <c r="B22" s="126">
        <v>19808.349999999999</v>
      </c>
      <c r="C22" s="126">
        <v>13909.68</v>
      </c>
      <c r="D22" s="126">
        <v>785.26</v>
      </c>
      <c r="E22" s="126">
        <v>5788.38</v>
      </c>
      <c r="F22" s="126">
        <v>110.29</v>
      </c>
      <c r="G22" s="126">
        <v>9981.44</v>
      </c>
      <c r="H22" s="126">
        <v>9636.7000000000007</v>
      </c>
      <c r="I22" s="126">
        <v>234.45</v>
      </c>
      <c r="J22" s="126">
        <v>110.29</v>
      </c>
      <c r="K22" s="126">
        <v>9826.92</v>
      </c>
      <c r="L22" s="126">
        <v>4272.99</v>
      </c>
      <c r="M22" s="126">
        <v>5553.93</v>
      </c>
      <c r="N22" s="126">
        <v>5264.76</v>
      </c>
    </row>
    <row r="23" spans="1:14">
      <c r="A23" s="109">
        <v>2020</v>
      </c>
      <c r="B23" s="126">
        <v>22625.53</v>
      </c>
      <c r="C23" s="126">
        <v>16415.59</v>
      </c>
      <c r="D23" s="126">
        <v>773.49</v>
      </c>
      <c r="E23" s="126">
        <v>6042.29</v>
      </c>
      <c r="F23" s="126">
        <v>167.65</v>
      </c>
      <c r="G23" s="126">
        <v>11152.88</v>
      </c>
      <c r="H23" s="126">
        <v>10745.16</v>
      </c>
      <c r="I23" s="126">
        <v>240.07</v>
      </c>
      <c r="J23" s="126">
        <v>167.65</v>
      </c>
      <c r="K23" s="126">
        <v>11472.65</v>
      </c>
      <c r="L23" s="126">
        <v>5670.43</v>
      </c>
      <c r="M23" s="126">
        <v>5802.22</v>
      </c>
      <c r="N23" s="126">
        <v>5555.91</v>
      </c>
    </row>
    <row r="24" spans="1:14">
      <c r="A24" s="118">
        <v>2021</v>
      </c>
      <c r="B24" s="127">
        <v>23298.240000000002</v>
      </c>
      <c r="C24" s="127">
        <v>16980.09</v>
      </c>
      <c r="D24" s="127">
        <v>789.23</v>
      </c>
      <c r="E24" s="127">
        <v>6175.93</v>
      </c>
      <c r="F24" s="127">
        <v>142.22999999999999</v>
      </c>
      <c r="G24" s="127">
        <v>11352.25</v>
      </c>
      <c r="H24" s="127">
        <v>10929.5</v>
      </c>
      <c r="I24" s="127">
        <v>280.52999999999997</v>
      </c>
      <c r="J24" s="127">
        <v>142.22999999999999</v>
      </c>
      <c r="K24" s="127">
        <v>11945.99</v>
      </c>
      <c r="L24" s="127">
        <v>6050.59</v>
      </c>
      <c r="M24" s="127">
        <v>5895.4</v>
      </c>
      <c r="N24" s="127">
        <v>5669.14</v>
      </c>
    </row>
    <row r="25" spans="1:14">
      <c r="A25" s="163" t="s">
        <v>239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</row>
  </sheetData>
  <mergeCells count="1">
    <mergeCell ref="A25:N25"/>
  </mergeCells>
  <hyperlinks>
    <hyperlink ref="L1" location="Índice!A1" display="Volver al índice" xr:uid="{00000000-0004-0000-2000-000000000000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29C5D1"/>
  </sheetPr>
  <dimension ref="A1:Q25"/>
  <sheetViews>
    <sheetView workbookViewId="0">
      <selection activeCell="Q1" sqref="Q1"/>
    </sheetView>
  </sheetViews>
  <sheetFormatPr defaultColWidth="8.7109375" defaultRowHeight="15"/>
  <sheetData>
    <row r="1" spans="1:17" ht="18.75">
      <c r="A1" s="13" t="s">
        <v>240</v>
      </c>
      <c r="Q1" s="103" t="s">
        <v>44</v>
      </c>
    </row>
    <row r="3" spans="1:17">
      <c r="A3" s="115"/>
      <c r="B3" s="117" t="s">
        <v>241</v>
      </c>
      <c r="C3" s="117" t="s">
        <v>242</v>
      </c>
      <c r="D3" s="117" t="s">
        <v>243</v>
      </c>
    </row>
    <row r="4" spans="1:17">
      <c r="A4" s="109">
        <v>2001</v>
      </c>
      <c r="B4" s="126">
        <v>4648.01</v>
      </c>
      <c r="C4" s="126">
        <v>745.96</v>
      </c>
      <c r="D4" s="126">
        <v>0</v>
      </c>
    </row>
    <row r="5" spans="1:17">
      <c r="A5" s="109">
        <v>2002</v>
      </c>
      <c r="B5" s="126">
        <v>5546.9</v>
      </c>
      <c r="C5" s="126">
        <v>749.6</v>
      </c>
      <c r="D5" s="126">
        <v>0</v>
      </c>
    </row>
    <row r="6" spans="1:17">
      <c r="A6" s="109">
        <v>2003</v>
      </c>
      <c r="B6" s="126">
        <v>6087.18</v>
      </c>
      <c r="C6" s="126">
        <v>775.79</v>
      </c>
      <c r="D6" s="126">
        <v>0</v>
      </c>
    </row>
    <row r="7" spans="1:17">
      <c r="A7" s="109">
        <v>2004</v>
      </c>
      <c r="B7" s="126">
        <v>6425</v>
      </c>
      <c r="C7" s="126">
        <v>682.1</v>
      </c>
      <c r="D7" s="126">
        <v>0</v>
      </c>
    </row>
    <row r="8" spans="1:17">
      <c r="A8" s="109">
        <v>2005</v>
      </c>
      <c r="B8" s="126">
        <v>6803.16</v>
      </c>
      <c r="C8" s="126">
        <v>723.5</v>
      </c>
      <c r="D8" s="126">
        <v>0</v>
      </c>
    </row>
    <row r="9" spans="1:17">
      <c r="A9" s="109">
        <v>2006</v>
      </c>
      <c r="B9" s="126">
        <v>7416.87</v>
      </c>
      <c r="C9" s="126">
        <v>860.92</v>
      </c>
      <c r="D9" s="126">
        <v>90.79</v>
      </c>
    </row>
    <row r="10" spans="1:17">
      <c r="A10" s="109">
        <v>2007</v>
      </c>
      <c r="B10" s="126">
        <v>7460.93</v>
      </c>
      <c r="C10" s="126">
        <v>1130.5</v>
      </c>
      <c r="D10" s="126">
        <v>409.3</v>
      </c>
    </row>
    <row r="11" spans="1:17">
      <c r="A11" s="109">
        <v>2008</v>
      </c>
      <c r="B11" s="126">
        <v>7927.6</v>
      </c>
      <c r="C11" s="126">
        <v>1470.69</v>
      </c>
      <c r="D11" s="126">
        <v>725.21</v>
      </c>
    </row>
    <row r="12" spans="1:17">
      <c r="A12" s="109">
        <v>2009</v>
      </c>
      <c r="B12" s="126">
        <v>9332.52</v>
      </c>
      <c r="C12" s="126">
        <v>1634.12</v>
      </c>
      <c r="D12" s="126">
        <v>1063.1500000000001</v>
      </c>
    </row>
    <row r="13" spans="1:17">
      <c r="A13" s="109">
        <v>2010</v>
      </c>
      <c r="B13" s="126">
        <v>9669.2800000000007</v>
      </c>
      <c r="C13" s="126">
        <v>1957.64</v>
      </c>
      <c r="D13" s="126">
        <v>1407.36</v>
      </c>
    </row>
    <row r="14" spans="1:17">
      <c r="A14" s="109">
        <v>2011</v>
      </c>
      <c r="B14" s="126">
        <v>10204.1</v>
      </c>
      <c r="C14" s="126">
        <v>2600.1</v>
      </c>
      <c r="D14" s="126">
        <v>1796.94</v>
      </c>
    </row>
    <row r="15" spans="1:17">
      <c r="A15" s="109">
        <v>2012</v>
      </c>
      <c r="B15" s="126">
        <v>11402.57</v>
      </c>
      <c r="C15" s="126">
        <v>2929.34</v>
      </c>
      <c r="D15" s="126">
        <v>2193.36</v>
      </c>
    </row>
    <row r="16" spans="1:17">
      <c r="A16" s="109">
        <v>2013</v>
      </c>
      <c r="B16" s="126">
        <v>11282.5</v>
      </c>
      <c r="C16" s="126">
        <v>3342.38</v>
      </c>
      <c r="D16" s="126">
        <v>2608.2600000000002</v>
      </c>
    </row>
    <row r="17" spans="1:4">
      <c r="A17" s="109">
        <v>2014</v>
      </c>
      <c r="B17" s="126">
        <v>11712.5</v>
      </c>
      <c r="C17" s="126">
        <v>3744.24</v>
      </c>
      <c r="D17" s="126">
        <v>3040.04</v>
      </c>
    </row>
    <row r="18" spans="1:4">
      <c r="A18" s="109">
        <v>2015</v>
      </c>
      <c r="B18" s="126">
        <v>12233.76</v>
      </c>
      <c r="C18" s="126">
        <v>4196.46</v>
      </c>
      <c r="D18" s="126">
        <v>3478.71</v>
      </c>
    </row>
    <row r="19" spans="1:4">
      <c r="A19" s="109">
        <v>2016</v>
      </c>
      <c r="B19" s="126">
        <v>12619.66</v>
      </c>
      <c r="C19" s="126">
        <v>4725.76</v>
      </c>
      <c r="D19" s="126">
        <v>4015.94</v>
      </c>
    </row>
    <row r="20" spans="1:4">
      <c r="A20" s="109">
        <v>2017</v>
      </c>
      <c r="B20" s="126">
        <v>13043.33</v>
      </c>
      <c r="C20" s="126">
        <v>5177.3900000000003</v>
      </c>
      <c r="D20" s="126">
        <v>4573.6099999999997</v>
      </c>
    </row>
    <row r="21" spans="1:4">
      <c r="A21" s="109">
        <v>2018</v>
      </c>
      <c r="B21" s="126">
        <v>13385.11</v>
      </c>
      <c r="C21" s="126">
        <v>5475.94</v>
      </c>
      <c r="D21" s="126">
        <v>4921.53</v>
      </c>
    </row>
    <row r="22" spans="1:4">
      <c r="A22" s="109">
        <v>2019</v>
      </c>
      <c r="B22" s="126">
        <v>13909.68</v>
      </c>
      <c r="C22" s="126">
        <v>5788.38</v>
      </c>
      <c r="D22" s="126">
        <v>5264.76</v>
      </c>
    </row>
    <row r="23" spans="1:4">
      <c r="A23" s="109">
        <v>2020</v>
      </c>
      <c r="B23" s="126">
        <v>16415.59</v>
      </c>
      <c r="C23" s="126">
        <v>6042.29</v>
      </c>
      <c r="D23" s="126">
        <v>5555.91</v>
      </c>
    </row>
    <row r="24" spans="1:4">
      <c r="A24" s="118">
        <v>2021</v>
      </c>
      <c r="B24" s="127">
        <v>16980.09</v>
      </c>
      <c r="C24" s="127">
        <v>6175.93</v>
      </c>
      <c r="D24" s="127">
        <v>5669.14</v>
      </c>
    </row>
    <row r="25" spans="1:4">
      <c r="A25" t="s">
        <v>244</v>
      </c>
    </row>
  </sheetData>
  <hyperlinks>
    <hyperlink ref="Q1" location="Índice!A1" display="Volver al índice" xr:uid="{00000000-0004-0000-2100-000000000000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P21"/>
  <sheetViews>
    <sheetView workbookViewId="0">
      <selection activeCell="P1" sqref="P1"/>
    </sheetView>
  </sheetViews>
  <sheetFormatPr defaultColWidth="8.7109375" defaultRowHeight="15"/>
  <sheetData>
    <row r="1" spans="1:16" ht="18.75">
      <c r="A1" s="13" t="s">
        <v>245</v>
      </c>
      <c r="P1" s="103" t="s">
        <v>44</v>
      </c>
    </row>
    <row r="21" spans="1:1">
      <c r="A21" t="s">
        <v>246</v>
      </c>
    </row>
  </sheetData>
  <hyperlinks>
    <hyperlink ref="P1" location="Índice!A1" display="Volver al índice" xr:uid="{00000000-0004-0000-2200-000000000000}"/>
  </hyperlink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29E6D1"/>
  </sheetPr>
  <dimension ref="A1:L25"/>
  <sheetViews>
    <sheetView workbookViewId="0">
      <selection activeCell="L1" sqref="L1"/>
    </sheetView>
  </sheetViews>
  <sheetFormatPr defaultColWidth="8.7109375" defaultRowHeight="15"/>
  <cols>
    <col min="2" max="2" width="14.28515625" customWidth="1"/>
    <col min="3" max="3" width="15" customWidth="1"/>
    <col min="4" max="4" width="13.5703125" customWidth="1"/>
    <col min="7" max="7" width="13" customWidth="1"/>
    <col min="8" max="8" width="15.140625" customWidth="1"/>
  </cols>
  <sheetData>
    <row r="1" spans="1:12" ht="18.75">
      <c r="A1" s="13" t="s">
        <v>247</v>
      </c>
      <c r="L1" s="103" t="s">
        <v>44</v>
      </c>
    </row>
    <row r="3" spans="1:12">
      <c r="A3" s="128"/>
      <c r="B3" s="161" t="s">
        <v>248</v>
      </c>
      <c r="C3" s="161"/>
      <c r="D3" s="161"/>
      <c r="E3" s="161"/>
      <c r="F3" s="162" t="s">
        <v>249</v>
      </c>
      <c r="G3" s="162"/>
      <c r="H3" s="162"/>
    </row>
    <row r="4" spans="1:12" ht="30">
      <c r="A4" s="129"/>
      <c r="B4" s="108" t="s">
        <v>250</v>
      </c>
      <c r="C4" s="108" t="s">
        <v>251</v>
      </c>
      <c r="D4" s="108" t="s">
        <v>252</v>
      </c>
      <c r="E4" s="108" t="s">
        <v>253</v>
      </c>
      <c r="F4" s="108" t="s">
        <v>250</v>
      </c>
      <c r="G4" s="108" t="s">
        <v>251</v>
      </c>
      <c r="H4" s="108" t="s">
        <v>252</v>
      </c>
    </row>
    <row r="5" spans="1:12">
      <c r="A5" s="109">
        <v>2001</v>
      </c>
      <c r="B5" s="112">
        <f>1874.1+127.7</f>
        <v>2001.8</v>
      </c>
      <c r="C5" s="112">
        <f>645.7+16.9</f>
        <v>662.6</v>
      </c>
      <c r="D5" s="112">
        <f>184.2+9.7</f>
        <v>193.89999999999998</v>
      </c>
      <c r="E5" s="112">
        <f t="shared" ref="E5:E24" si="0">B5+C5+D5</f>
        <v>2858.3</v>
      </c>
      <c r="F5" s="121">
        <f ca="1">B5/$F5</f>
        <v>0.70034635972431158</v>
      </c>
      <c r="G5" s="121">
        <f t="shared" ref="G5:H20" ca="1" si="1">C5/$F5</f>
        <v>0.23181611447363817</v>
      </c>
      <c r="H5" s="121">
        <f t="shared" ca="1" si="1"/>
        <v>6.7837525802050158E-2</v>
      </c>
    </row>
    <row r="6" spans="1:12">
      <c r="A6" s="109">
        <v>2002</v>
      </c>
      <c r="B6" s="112">
        <f>2057.9+106.3</f>
        <v>2164.2000000000003</v>
      </c>
      <c r="C6" s="112">
        <f>645.7+106.3</f>
        <v>752</v>
      </c>
      <c r="D6" s="112">
        <v>323.89999999999998</v>
      </c>
      <c r="E6" s="112">
        <f t="shared" si="0"/>
        <v>3240.1000000000004</v>
      </c>
      <c r="F6" s="121">
        <f t="shared" ref="F6:H24" ca="1" si="2">B6/$F6</f>
        <v>0.66794234745841174</v>
      </c>
      <c r="G6" s="121">
        <f t="shared" ca="1" si="1"/>
        <v>0.23209160211104593</v>
      </c>
      <c r="H6" s="121">
        <f t="shared" ca="1" si="1"/>
        <v>9.9966050430542255E-2</v>
      </c>
    </row>
    <row r="7" spans="1:12">
      <c r="A7" s="109">
        <v>2003</v>
      </c>
      <c r="B7" s="112">
        <f>2396.2+177.8</f>
        <v>2574</v>
      </c>
      <c r="C7" s="112">
        <f>723.2+7.7</f>
        <v>730.90000000000009</v>
      </c>
      <c r="D7" s="112">
        <f>1305.5+77</f>
        <v>1382.5</v>
      </c>
      <c r="E7" s="112">
        <f t="shared" si="0"/>
        <v>4687.3999999999996</v>
      </c>
      <c r="F7" s="121">
        <f t="shared" ca="1" si="2"/>
        <v>0.54913171480991596</v>
      </c>
      <c r="G7" s="121">
        <f t="shared" ca="1" si="1"/>
        <v>0.15592865981140935</v>
      </c>
      <c r="H7" s="121">
        <f t="shared" ca="1" si="1"/>
        <v>0.29493962537867474</v>
      </c>
    </row>
    <row r="8" spans="1:12">
      <c r="A8" s="109">
        <v>2004</v>
      </c>
      <c r="B8" s="112">
        <f>2313.7+141.1</f>
        <v>2454.7999999999997</v>
      </c>
      <c r="C8" s="112">
        <f>741.7+4.6</f>
        <v>746.30000000000007</v>
      </c>
      <c r="D8" s="112">
        <f>1524.6+52.2</f>
        <v>1576.8</v>
      </c>
      <c r="E8" s="112">
        <f t="shared" si="0"/>
        <v>4777.8999999999996</v>
      </c>
      <c r="F8" s="121">
        <f t="shared" ca="1" si="2"/>
        <v>0.51378220557148535</v>
      </c>
      <c r="G8" s="121">
        <f t="shared" ca="1" si="1"/>
        <v>0.15619832981016768</v>
      </c>
      <c r="H8" s="121">
        <f t="shared" ca="1" si="1"/>
        <v>0.33001946461834697</v>
      </c>
    </row>
    <row r="9" spans="1:12">
      <c r="A9" s="109">
        <v>2005</v>
      </c>
      <c r="B9" s="112">
        <f>2448.6+172.1</f>
        <v>2620.6999999999998</v>
      </c>
      <c r="C9" s="112">
        <f>670.2+1.5</f>
        <v>671.7</v>
      </c>
      <c r="D9" s="112">
        <f>1662+21.7</f>
        <v>1683.7</v>
      </c>
      <c r="E9" s="112">
        <f t="shared" si="0"/>
        <v>4976.0999999999995</v>
      </c>
      <c r="F9" s="121">
        <f t="shared" ca="1" si="2"/>
        <v>0.5266574224794518</v>
      </c>
      <c r="G9" s="121">
        <f t="shared" ca="1" si="1"/>
        <v>0.13498522939651536</v>
      </c>
      <c r="H9" s="121">
        <f t="shared" ca="1" si="1"/>
        <v>0.3383573481240329</v>
      </c>
    </row>
    <row r="10" spans="1:12">
      <c r="A10" s="109">
        <v>2006</v>
      </c>
      <c r="B10" s="112">
        <f>2453.9+71.2</f>
        <v>2525.1</v>
      </c>
      <c r="C10" s="112">
        <f>671.8</f>
        <v>671.8</v>
      </c>
      <c r="D10" s="112">
        <f>2470.7+25</f>
        <v>2495.6999999999998</v>
      </c>
      <c r="E10" s="112">
        <f t="shared" si="0"/>
        <v>5692.5999999999995</v>
      </c>
      <c r="F10" s="121">
        <f t="shared" ca="1" si="2"/>
        <v>0.44357587042827534</v>
      </c>
      <c r="G10" s="121">
        <f t="shared" ca="1" si="1"/>
        <v>0.11801285879914275</v>
      </c>
      <c r="H10" s="121">
        <f t="shared" ca="1" si="1"/>
        <v>0.43841127077258196</v>
      </c>
    </row>
    <row r="11" spans="1:12">
      <c r="A11" s="109">
        <v>2007</v>
      </c>
      <c r="B11" s="112">
        <f>2453.9+71.2</f>
        <v>2525.1</v>
      </c>
      <c r="C11" s="112">
        <v>671.8</v>
      </c>
      <c r="D11" s="112">
        <f>2470.7+25</f>
        <v>2495.6999999999998</v>
      </c>
      <c r="E11" s="112">
        <f t="shared" si="0"/>
        <v>5692.5999999999995</v>
      </c>
      <c r="F11" s="121">
        <f t="shared" ca="1" si="2"/>
        <v>0.44357587042827534</v>
      </c>
      <c r="G11" s="121">
        <f t="shared" ca="1" si="1"/>
        <v>0.11801285879914275</v>
      </c>
      <c r="H11" s="121">
        <f t="shared" ca="1" si="1"/>
        <v>0.43841127077258196</v>
      </c>
    </row>
    <row r="12" spans="1:12">
      <c r="A12" s="109">
        <v>2008</v>
      </c>
      <c r="B12" s="112">
        <f>2602.8+335.3</f>
        <v>2938.1000000000004</v>
      </c>
      <c r="C12" s="112">
        <f>730.1</f>
        <v>730.1</v>
      </c>
      <c r="D12" s="112">
        <f>2179.1+90</f>
        <v>2269.1</v>
      </c>
      <c r="E12" s="112">
        <f t="shared" si="0"/>
        <v>5937.3</v>
      </c>
      <c r="F12" s="121">
        <f t="shared" ca="1" si="2"/>
        <v>0.49485456352213975</v>
      </c>
      <c r="G12" s="121">
        <f t="shared" ca="1" si="1"/>
        <v>0.12296835261819346</v>
      </c>
      <c r="H12" s="121">
        <f t="shared" ca="1" si="1"/>
        <v>0.38217708385966681</v>
      </c>
    </row>
    <row r="13" spans="1:12">
      <c r="A13" s="109">
        <v>2009</v>
      </c>
      <c r="B13" s="112">
        <f>3073+141.9</f>
        <v>3214.9</v>
      </c>
      <c r="C13" s="112">
        <v>684.1</v>
      </c>
      <c r="D13" s="112">
        <f>2586.3+65</f>
        <v>2651.3</v>
      </c>
      <c r="E13" s="112">
        <f t="shared" si="0"/>
        <v>6550.3</v>
      </c>
      <c r="F13" s="121">
        <f t="shared" ca="1" si="2"/>
        <v>0.49080194800238158</v>
      </c>
      <c r="G13" s="121">
        <f t="shared" ca="1" si="1"/>
        <v>0.10443796467337374</v>
      </c>
      <c r="H13" s="121">
        <f t="shared" ca="1" si="1"/>
        <v>0.40476008732424473</v>
      </c>
    </row>
    <row r="14" spans="1:12">
      <c r="A14" s="109">
        <v>2010</v>
      </c>
      <c r="B14" s="112">
        <f>3385.3+151.4</f>
        <v>3536.7000000000003</v>
      </c>
      <c r="C14" s="112">
        <v>662.8</v>
      </c>
      <c r="D14" s="112">
        <f>2631.9</f>
        <v>2631.9</v>
      </c>
      <c r="E14" s="112">
        <f t="shared" si="0"/>
        <v>6831.4</v>
      </c>
      <c r="F14" s="121">
        <f t="shared" ca="1" si="2"/>
        <v>0.51771232836607439</v>
      </c>
      <c r="G14" s="121">
        <f t="shared" ca="1" si="1"/>
        <v>9.7022572239950811E-2</v>
      </c>
      <c r="H14" s="121">
        <f t="shared" ca="1" si="1"/>
        <v>0.38526509939397491</v>
      </c>
    </row>
    <row r="15" spans="1:12">
      <c r="A15" s="109">
        <v>2011</v>
      </c>
      <c r="B15" s="112">
        <f>3614.5+147</f>
        <v>3761.5</v>
      </c>
      <c r="C15" s="112">
        <v>660.3</v>
      </c>
      <c r="D15" s="112">
        <v>2719.8</v>
      </c>
      <c r="E15" s="112">
        <f t="shared" si="0"/>
        <v>7141.6</v>
      </c>
      <c r="F15" s="121">
        <f t="shared" ca="1" si="2"/>
        <v>0.52670269967514283</v>
      </c>
      <c r="G15" s="121">
        <f t="shared" ca="1" si="1"/>
        <v>9.2458272655987439E-2</v>
      </c>
      <c r="H15" s="121">
        <f t="shared" ca="1" si="1"/>
        <v>0.38083902766886973</v>
      </c>
    </row>
    <row r="16" spans="1:12">
      <c r="A16" s="109">
        <v>2012</v>
      </c>
      <c r="B16" s="112">
        <f>3760.1+161.2</f>
        <v>3921.2999999999997</v>
      </c>
      <c r="C16" s="112">
        <v>597.29999999999995</v>
      </c>
      <c r="D16" s="112">
        <v>3531.7</v>
      </c>
      <c r="E16" s="112">
        <f t="shared" si="0"/>
        <v>8050.2999999999993</v>
      </c>
      <c r="F16" s="121">
        <f t="shared" ca="1" si="2"/>
        <v>0.48709985963256031</v>
      </c>
      <c r="G16" s="121">
        <f t="shared" ca="1" si="1"/>
        <v>7.4195992695924376E-2</v>
      </c>
      <c r="H16" s="121">
        <f t="shared" ca="1" si="1"/>
        <v>0.43870414767151539</v>
      </c>
    </row>
    <row r="17" spans="1:8">
      <c r="A17" s="109">
        <v>2013</v>
      </c>
      <c r="B17" s="112">
        <f>3724.6+215.4</f>
        <v>3940</v>
      </c>
      <c r="C17" s="112">
        <v>548.29999999999995</v>
      </c>
      <c r="D17" s="112">
        <f>3533.5+48</f>
        <v>3581.5</v>
      </c>
      <c r="E17" s="112">
        <f t="shared" si="0"/>
        <v>8069.8</v>
      </c>
      <c r="F17" s="121">
        <f t="shared" ca="1" si="2"/>
        <v>0.48824010508314952</v>
      </c>
      <c r="G17" s="121">
        <f t="shared" ca="1" si="1"/>
        <v>6.7944682643931692E-2</v>
      </c>
      <c r="H17" s="121">
        <f t="shared" ca="1" si="1"/>
        <v>0.44381521227291876</v>
      </c>
    </row>
    <row r="18" spans="1:8">
      <c r="A18" s="109">
        <v>2014</v>
      </c>
      <c r="B18" s="112">
        <f>3680.8+199.5</f>
        <v>3880.3</v>
      </c>
      <c r="C18" s="112">
        <v>476</v>
      </c>
      <c r="D18" s="112">
        <f>4568.2+35</f>
        <v>4603.2</v>
      </c>
      <c r="E18" s="112">
        <f t="shared" si="0"/>
        <v>8959.5</v>
      </c>
      <c r="F18" s="121">
        <f t="shared" ca="1" si="2"/>
        <v>0.4330933645850773</v>
      </c>
      <c r="G18" s="121">
        <f t="shared" ca="1" si="1"/>
        <v>5.3127964730174677E-2</v>
      </c>
      <c r="H18" s="121">
        <f t="shared" ca="1" si="1"/>
        <v>0.51377867068474803</v>
      </c>
    </row>
    <row r="19" spans="1:8">
      <c r="A19" s="109">
        <v>2015</v>
      </c>
      <c r="B19" s="112">
        <f>3691.8+156.2</f>
        <v>3848</v>
      </c>
      <c r="C19" s="112">
        <v>441</v>
      </c>
      <c r="D19" s="112">
        <v>4500.3</v>
      </c>
      <c r="E19" s="112">
        <f t="shared" si="0"/>
        <v>8789.2999999999993</v>
      </c>
      <c r="F19" s="121">
        <f t="shared" ca="1" si="2"/>
        <v>0.43780505842331019</v>
      </c>
      <c r="G19" s="121">
        <f t="shared" ca="1" si="1"/>
        <v>5.0174644169615333E-2</v>
      </c>
      <c r="H19" s="121">
        <f t="shared" ca="1" si="1"/>
        <v>0.51202029740707455</v>
      </c>
    </row>
    <row r="20" spans="1:8">
      <c r="A20" s="109">
        <v>2016</v>
      </c>
      <c r="B20" s="112">
        <f>3693.65+182.8</f>
        <v>3876.4500000000003</v>
      </c>
      <c r="C20" s="112">
        <v>433.3</v>
      </c>
      <c r="D20" s="112">
        <f>4977.21+30</f>
        <v>5007.21</v>
      </c>
      <c r="E20" s="112">
        <f t="shared" si="0"/>
        <v>9316.9599999999991</v>
      </c>
      <c r="F20" s="121">
        <f t="shared" ca="1" si="2"/>
        <v>0.41606382339303816</v>
      </c>
      <c r="G20" s="121">
        <f t="shared" ca="1" si="1"/>
        <v>4.6506585839157843E-2</v>
      </c>
      <c r="H20" s="121">
        <f t="shared" ca="1" si="1"/>
        <v>0.53742959076780417</v>
      </c>
    </row>
    <row r="21" spans="1:8">
      <c r="A21" s="109">
        <v>2017</v>
      </c>
      <c r="B21" s="112">
        <f>3762.7+152</f>
        <v>3914.7</v>
      </c>
      <c r="C21" s="112">
        <v>429.6</v>
      </c>
      <c r="D21" s="112">
        <f>5331.02</f>
        <v>5331.02</v>
      </c>
      <c r="E21" s="112">
        <f t="shared" si="0"/>
        <v>9675.32</v>
      </c>
      <c r="F21" s="121">
        <f t="shared" ca="1" si="2"/>
        <v>0.40460677269589018</v>
      </c>
      <c r="G21" s="121">
        <f t="shared" ca="1" si="2"/>
        <v>4.4401632194077306E-2</v>
      </c>
      <c r="H21" s="121">
        <f t="shared" ca="1" si="2"/>
        <v>0.55099159511003259</v>
      </c>
    </row>
    <row r="22" spans="1:8">
      <c r="A22" s="109">
        <v>2018</v>
      </c>
      <c r="B22" s="112">
        <f>3986.26+113.63</f>
        <v>4099.8900000000003</v>
      </c>
      <c r="C22" s="112">
        <v>394.11</v>
      </c>
      <c r="D22" s="112">
        <v>5071.43</v>
      </c>
      <c r="E22" s="112">
        <f t="shared" si="0"/>
        <v>9565.43</v>
      </c>
      <c r="F22" s="121">
        <f t="shared" ca="1" si="2"/>
        <v>0.42861533668638002</v>
      </c>
      <c r="G22" s="121">
        <f t="shared" ca="1" si="2"/>
        <v>4.120149329408087E-2</v>
      </c>
      <c r="H22" s="121">
        <f t="shared" ca="1" si="2"/>
        <v>0.53018317001953907</v>
      </c>
    </row>
    <row r="23" spans="1:8">
      <c r="A23" s="109">
        <v>2019</v>
      </c>
      <c r="B23" s="112">
        <f>4041.07+110.29</f>
        <v>4151.3600000000006</v>
      </c>
      <c r="C23" s="112">
        <v>368.34</v>
      </c>
      <c r="D23" s="112">
        <v>5461.74</v>
      </c>
      <c r="E23" s="112">
        <f t="shared" si="0"/>
        <v>9981.44</v>
      </c>
      <c r="F23" s="121">
        <f t="shared" ca="1" si="2"/>
        <v>0.41590792510900232</v>
      </c>
      <c r="G23" s="121">
        <f t="shared" ca="1" si="2"/>
        <v>3.6902491023339312E-2</v>
      </c>
      <c r="H23" s="121">
        <f t="shared" ca="1" si="2"/>
        <v>0.54718958386765837</v>
      </c>
    </row>
    <row r="24" spans="1:8">
      <c r="A24" s="118">
        <v>2020</v>
      </c>
      <c r="B24" s="123">
        <f>4502.32+167.65</f>
        <v>4669.9699999999993</v>
      </c>
      <c r="C24" s="123">
        <v>411.5</v>
      </c>
      <c r="D24" s="123">
        <v>6071.41</v>
      </c>
      <c r="E24" s="123">
        <f t="shared" si="0"/>
        <v>11152.88</v>
      </c>
      <c r="F24" s="124">
        <f t="shared" ca="1" si="2"/>
        <v>0.41872323561268476</v>
      </c>
      <c r="G24" s="124">
        <f t="shared" ca="1" si="2"/>
        <v>3.6896299431178316E-2</v>
      </c>
      <c r="H24" s="124">
        <f t="shared" ca="1" si="2"/>
        <v>0.5443804649561369</v>
      </c>
    </row>
    <row r="25" spans="1:8">
      <c r="A25" s="164" t="s">
        <v>254</v>
      </c>
      <c r="B25" s="164"/>
      <c r="C25" s="164"/>
      <c r="D25" s="164"/>
      <c r="E25" s="164"/>
      <c r="F25" s="164"/>
      <c r="G25" s="164"/>
      <c r="H25" s="164"/>
    </row>
  </sheetData>
  <mergeCells count="3">
    <mergeCell ref="B3:E3"/>
    <mergeCell ref="F3:H3"/>
    <mergeCell ref="A25:H25"/>
  </mergeCells>
  <hyperlinks>
    <hyperlink ref="L1" location="Índice!A1" display="Volver al índice" xr:uid="{00000000-0004-0000-2300-000000000000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29E6D1"/>
  </sheetPr>
  <dimension ref="A1:P25"/>
  <sheetViews>
    <sheetView workbookViewId="0">
      <selection activeCell="P1" sqref="P1"/>
    </sheetView>
  </sheetViews>
  <sheetFormatPr defaultColWidth="8.7109375" defaultRowHeight="15"/>
  <sheetData>
    <row r="1" spans="1:16" ht="18.75">
      <c r="A1" s="13" t="s">
        <v>255</v>
      </c>
      <c r="P1" s="103" t="s">
        <v>44</v>
      </c>
    </row>
    <row r="3" spans="1:16">
      <c r="A3" s="165"/>
      <c r="B3" s="161" t="s">
        <v>203</v>
      </c>
      <c r="C3" s="161"/>
      <c r="D3" s="161"/>
      <c r="E3" s="161"/>
      <c r="F3" s="161" t="s">
        <v>204</v>
      </c>
      <c r="G3" s="161"/>
      <c r="H3" s="161"/>
      <c r="I3" s="161"/>
      <c r="J3" s="161" t="s">
        <v>256</v>
      </c>
      <c r="K3" s="161"/>
      <c r="L3" s="161"/>
      <c r="M3" s="161"/>
    </row>
    <row r="4" spans="1:16">
      <c r="A4" s="166"/>
      <c r="B4" s="134" t="s">
        <v>257</v>
      </c>
      <c r="C4" s="134" t="s">
        <v>258</v>
      </c>
      <c r="D4" s="134" t="s">
        <v>223</v>
      </c>
      <c r="E4" s="134" t="s">
        <v>224</v>
      </c>
      <c r="F4" s="134" t="s">
        <v>257</v>
      </c>
      <c r="G4" s="134" t="s">
        <v>258</v>
      </c>
      <c r="H4" s="134" t="s">
        <v>223</v>
      </c>
      <c r="I4" s="134" t="s">
        <v>224</v>
      </c>
      <c r="J4" s="134" t="s">
        <v>257</v>
      </c>
      <c r="K4" s="134" t="s">
        <v>258</v>
      </c>
      <c r="L4" s="134" t="s">
        <v>223</v>
      </c>
      <c r="M4" s="134" t="s">
        <v>224</v>
      </c>
    </row>
    <row r="5" spans="1:16">
      <c r="A5" s="109">
        <v>2001</v>
      </c>
      <c r="B5" s="130">
        <v>1.4286048511677241E-2</v>
      </c>
      <c r="C5" s="130">
        <v>1.2257578291555823E-2</v>
      </c>
      <c r="D5" s="130">
        <v>0.12110488705717637</v>
      </c>
      <c r="E5" s="130">
        <v>0.12123876933403085</v>
      </c>
      <c r="F5" s="130">
        <v>1.3046380360948276E-2</v>
      </c>
      <c r="G5" s="130">
        <v>1.1193930117556693E-2</v>
      </c>
      <c r="H5" s="130">
        <v>0.11059604192342959</v>
      </c>
      <c r="I5" s="130">
        <v>0.11071830660046787</v>
      </c>
      <c r="J5" s="121">
        <v>2.7332428872625519E-2</v>
      </c>
      <c r="K5" s="121">
        <v>2.3451508409112518E-2</v>
      </c>
      <c r="L5" s="121">
        <v>0.23170092898060596</v>
      </c>
      <c r="M5" s="121">
        <v>0.23195707593449871</v>
      </c>
    </row>
    <row r="6" spans="1:16">
      <c r="A6" s="109">
        <v>2002</v>
      </c>
      <c r="B6" s="130">
        <v>2.1157012748102305E-2</v>
      </c>
      <c r="C6" s="130">
        <v>1.8653732428912016E-2</v>
      </c>
      <c r="D6" s="130">
        <v>0.1679641643681043</v>
      </c>
      <c r="E6" s="130">
        <v>0.1750875220544991</v>
      </c>
      <c r="F6" s="130">
        <v>1.5467603598341815E-2</v>
      </c>
      <c r="G6" s="130">
        <v>1.3637489482811068E-2</v>
      </c>
      <c r="H6" s="130">
        <v>0.12279631080742227</v>
      </c>
      <c r="I6" s="130">
        <v>0.12800410050316932</v>
      </c>
      <c r="J6" s="131">
        <v>3.6624616346444122E-2</v>
      </c>
      <c r="K6" s="131">
        <v>3.2291221911723081E-2</v>
      </c>
      <c r="L6" s="131">
        <v>0.29076047517552656</v>
      </c>
      <c r="M6" s="131">
        <v>0.30309162255766842</v>
      </c>
    </row>
    <row r="7" spans="1:16">
      <c r="A7" s="109">
        <v>2003</v>
      </c>
      <c r="B7" s="130">
        <v>2.0641181346618589E-2</v>
      </c>
      <c r="C7" s="130">
        <v>1.8303818337791336E-2</v>
      </c>
      <c r="D7" s="130">
        <v>0.15744102791520045</v>
      </c>
      <c r="E7" s="130">
        <v>0.16377771919839437</v>
      </c>
      <c r="F7" s="130">
        <v>1.2942190846156082E-2</v>
      </c>
      <c r="G7" s="130">
        <v>1.14766449731267E-2</v>
      </c>
      <c r="H7" s="130">
        <v>9.8716822263049078E-2</v>
      </c>
      <c r="I7" s="130">
        <v>0.10268997992990443</v>
      </c>
      <c r="J7" s="131">
        <v>3.3583372192774671E-2</v>
      </c>
      <c r="K7" s="131">
        <v>2.9780463310918034E-2</v>
      </c>
      <c r="L7" s="131">
        <v>0.25615785017824955</v>
      </c>
      <c r="M7" s="131">
        <v>0.26646769912829882</v>
      </c>
    </row>
    <row r="8" spans="1:16">
      <c r="A8" s="109">
        <v>2004</v>
      </c>
      <c r="B8" s="130">
        <v>2.4978186735209181E-2</v>
      </c>
      <c r="C8" s="130">
        <v>2.1667518027089067E-2</v>
      </c>
      <c r="D8" s="130">
        <v>0.18836726631354536</v>
      </c>
      <c r="E8" s="130">
        <v>0.19557467382437005</v>
      </c>
      <c r="F8" s="130">
        <v>1.5430137163614618E-2</v>
      </c>
      <c r="G8" s="130">
        <v>1.3384989819209022E-2</v>
      </c>
      <c r="H8" s="130">
        <v>0.11636284039209652</v>
      </c>
      <c r="I8" s="130">
        <v>0.12081517665113041</v>
      </c>
      <c r="J8" s="131">
        <v>4.0408323898823803E-2</v>
      </c>
      <c r="K8" s="131">
        <v>3.5052507846298091E-2</v>
      </c>
      <c r="L8" s="131">
        <v>0.30473010670564188</v>
      </c>
      <c r="M8" s="131">
        <v>0.31638985047550044</v>
      </c>
    </row>
    <row r="9" spans="1:16">
      <c r="A9" s="109">
        <v>2005</v>
      </c>
      <c r="B9" s="130">
        <v>2.5023317082158349E-2</v>
      </c>
      <c r="C9" s="130">
        <v>2.1330591255110873E-2</v>
      </c>
      <c r="D9" s="130">
        <v>0.17253656740223672</v>
      </c>
      <c r="E9" s="130">
        <v>0.17808113551960722</v>
      </c>
      <c r="F9" s="130">
        <v>1.4931401809864719E-2</v>
      </c>
      <c r="G9" s="130">
        <v>1.2727954004912273E-2</v>
      </c>
      <c r="H9" s="130">
        <v>0.10295249052390604</v>
      </c>
      <c r="I9" s="130">
        <v>0.10626093177295419</v>
      </c>
      <c r="J9" s="131">
        <v>3.9954718892023067E-2</v>
      </c>
      <c r="K9" s="131">
        <v>3.4058545260023144E-2</v>
      </c>
      <c r="L9" s="131">
        <v>0.27548905792614276</v>
      </c>
      <c r="M9" s="131">
        <v>0.2843420672925614</v>
      </c>
    </row>
    <row r="10" spans="1:16">
      <c r="A10" s="109">
        <v>2006</v>
      </c>
      <c r="B10" s="130">
        <v>2.4448510173048672E-2</v>
      </c>
      <c r="C10" s="130">
        <v>2.0550879714797687E-2</v>
      </c>
      <c r="D10" s="130">
        <v>0.1572524713071094</v>
      </c>
      <c r="E10" s="130">
        <v>0.16174014173899021</v>
      </c>
      <c r="F10" s="130">
        <v>1.179491875652759E-2</v>
      </c>
      <c r="G10" s="130">
        <v>9.9145491850223203E-3</v>
      </c>
      <c r="H10" s="130">
        <v>7.5864750457277225E-2</v>
      </c>
      <c r="I10" s="130">
        <v>7.8029778419122342E-2</v>
      </c>
      <c r="J10" s="131">
        <v>3.6243428929576264E-2</v>
      </c>
      <c r="K10" s="131">
        <v>3.0465428899820006E-2</v>
      </c>
      <c r="L10" s="131">
        <v>0.23311722176438662</v>
      </c>
      <c r="M10" s="131">
        <v>0.23976992015811255</v>
      </c>
    </row>
    <row r="11" spans="1:16">
      <c r="A11" s="109">
        <v>2007</v>
      </c>
      <c r="B11" s="130">
        <v>2.5163015475660619E-2</v>
      </c>
      <c r="C11" s="130">
        <v>2.1085908786116329E-2</v>
      </c>
      <c r="D11" s="130">
        <v>0.15712453842709168</v>
      </c>
      <c r="E11" s="130">
        <v>0.16128637795394263</v>
      </c>
      <c r="F11" s="130">
        <v>1.8618546540194358E-2</v>
      </c>
      <c r="G11" s="130">
        <v>1.5601825403491037E-2</v>
      </c>
      <c r="H11" s="130">
        <v>0.11625913969416896</v>
      </c>
      <c r="I11" s="130">
        <v>0.11933855610983844</v>
      </c>
      <c r="J11" s="131">
        <v>4.378156201585498E-2</v>
      </c>
      <c r="K11" s="131">
        <v>3.6687734189607364E-2</v>
      </c>
      <c r="L11" s="131">
        <v>0.27338367812126063</v>
      </c>
      <c r="M11" s="131">
        <v>0.28062493406378108</v>
      </c>
    </row>
    <row r="12" spans="1:16">
      <c r="A12" s="109">
        <v>2008</v>
      </c>
      <c r="B12" s="130">
        <v>2.4173141150127673E-2</v>
      </c>
      <c r="C12" s="130">
        <v>2.0370607480122586E-2</v>
      </c>
      <c r="D12" s="130">
        <v>0.1506707210578842</v>
      </c>
      <c r="E12" s="130">
        <v>0.15419188895902633</v>
      </c>
      <c r="F12" s="130">
        <v>1.4916894529561632E-2</v>
      </c>
      <c r="G12" s="130">
        <v>1.2570406195741051E-2</v>
      </c>
      <c r="H12" s="130">
        <v>9.2976714972832109E-2</v>
      </c>
      <c r="I12" s="130">
        <v>9.5149576574723574E-2</v>
      </c>
      <c r="J12" s="131">
        <v>3.9090035679689307E-2</v>
      </c>
      <c r="K12" s="131">
        <v>3.2941013675863634E-2</v>
      </c>
      <c r="L12" s="131">
        <v>0.24364743603071631</v>
      </c>
      <c r="M12" s="131">
        <v>0.24934146553374992</v>
      </c>
    </row>
    <row r="13" spans="1:16">
      <c r="A13" s="109">
        <v>2009</v>
      </c>
      <c r="B13" s="130">
        <v>2.357079882668545E-2</v>
      </c>
      <c r="C13" s="130">
        <v>2.0250622858291288E-2</v>
      </c>
      <c r="D13" s="130">
        <v>0.15899294870566594</v>
      </c>
      <c r="E13" s="130">
        <v>0.16325537515936597</v>
      </c>
      <c r="F13" s="130">
        <v>1.5174952109275242E-2</v>
      </c>
      <c r="G13" s="130">
        <v>1.3037412703622738E-2</v>
      </c>
      <c r="H13" s="130">
        <v>0.10236014485811187</v>
      </c>
      <c r="I13" s="130">
        <v>0.10510430799741866</v>
      </c>
      <c r="J13" s="131">
        <v>3.8745750935960693E-2</v>
      </c>
      <c r="K13" s="131">
        <v>3.3288035561914023E-2</v>
      </c>
      <c r="L13" s="131">
        <v>0.26135309356377778</v>
      </c>
      <c r="M13" s="131">
        <v>0.2683596831567846</v>
      </c>
    </row>
    <row r="14" spans="1:16">
      <c r="A14" s="109">
        <v>2010</v>
      </c>
      <c r="B14" s="130">
        <v>2.6027337314544104E-2</v>
      </c>
      <c r="C14" s="130">
        <v>2.2292122325562946E-2</v>
      </c>
      <c r="D14" s="130">
        <v>0.16655692382405993</v>
      </c>
      <c r="E14" s="130">
        <v>0.17064062605506411</v>
      </c>
      <c r="F14" s="130">
        <v>1.5696597869009676E-2</v>
      </c>
      <c r="G14" s="130">
        <v>1.3443959924229516E-2</v>
      </c>
      <c r="H14" s="130">
        <v>0.10044734979880671</v>
      </c>
      <c r="I14" s="130">
        <v>0.10291015384834086</v>
      </c>
      <c r="J14" s="131">
        <v>4.172393518355378E-2</v>
      </c>
      <c r="K14" s="131">
        <v>3.573608224979246E-2</v>
      </c>
      <c r="L14" s="131">
        <v>0.26700427362286661</v>
      </c>
      <c r="M14" s="131">
        <v>0.27355077990340498</v>
      </c>
    </row>
    <row r="15" spans="1:16">
      <c r="A15" s="109">
        <v>2011</v>
      </c>
      <c r="B15" s="130">
        <v>1.799223463961018E-2</v>
      </c>
      <c r="C15" s="130">
        <v>1.5533068773158449E-2</v>
      </c>
      <c r="D15" s="130">
        <v>0.11428813747749157</v>
      </c>
      <c r="E15" s="130">
        <v>0.11680998204403531</v>
      </c>
      <c r="F15" s="130">
        <v>1.2527756125402568E-2</v>
      </c>
      <c r="G15" s="130">
        <v>1.0815471305650512E-2</v>
      </c>
      <c r="H15" s="130">
        <v>7.9577325608705854E-2</v>
      </c>
      <c r="I15" s="130">
        <v>8.1333252782214302E-2</v>
      </c>
      <c r="J15" s="131">
        <v>3.0519990765012748E-2</v>
      </c>
      <c r="K15" s="131">
        <v>2.6348540078808963E-2</v>
      </c>
      <c r="L15" s="131">
        <v>0.19386546308619743</v>
      </c>
      <c r="M15" s="131">
        <v>0.19814323482624963</v>
      </c>
    </row>
    <row r="16" spans="1:16">
      <c r="A16" s="109">
        <v>2012</v>
      </c>
      <c r="B16" s="130">
        <v>2.1080016804410785E-2</v>
      </c>
      <c r="C16" s="130">
        <v>1.8376913052335984E-2</v>
      </c>
      <c r="D16" s="130">
        <v>0.13128832175245062</v>
      </c>
      <c r="E16" s="130">
        <v>0.13406741875431211</v>
      </c>
      <c r="F16" s="130">
        <v>1.1915825851716284E-2</v>
      </c>
      <c r="G16" s="130">
        <v>1.0387852042791017E-2</v>
      </c>
      <c r="H16" s="130">
        <v>7.4212880989684954E-2</v>
      </c>
      <c r="I16" s="130">
        <v>7.578381123165133E-2</v>
      </c>
      <c r="J16" s="131">
        <v>3.2995842656127067E-2</v>
      </c>
      <c r="K16" s="131">
        <v>2.8764765095127001E-2</v>
      </c>
      <c r="L16" s="131">
        <v>0.20550120274213557</v>
      </c>
      <c r="M16" s="131">
        <v>0.20985122998596345</v>
      </c>
    </row>
    <row r="17" spans="1:13">
      <c r="A17" s="109">
        <v>2013</v>
      </c>
      <c r="B17" s="130">
        <v>2.2763897224372834E-2</v>
      </c>
      <c r="C17" s="130">
        <v>1.9951415114789605E-2</v>
      </c>
      <c r="D17" s="130">
        <v>0.1336262469069234</v>
      </c>
      <c r="E17" s="130">
        <v>0.13624808800875296</v>
      </c>
      <c r="F17" s="130">
        <v>1.1318286094978822E-2</v>
      </c>
      <c r="G17" s="130">
        <v>9.9199105514804903E-3</v>
      </c>
      <c r="H17" s="130">
        <v>6.6439418408176673E-2</v>
      </c>
      <c r="I17" s="130">
        <v>6.7743006602833833E-2</v>
      </c>
      <c r="J17" s="131">
        <v>3.4082183319351658E-2</v>
      </c>
      <c r="K17" s="131">
        <v>2.9871325666270095E-2</v>
      </c>
      <c r="L17" s="131">
        <v>0.20006566531510006</v>
      </c>
      <c r="M17" s="131">
        <v>0.20399109461158679</v>
      </c>
    </row>
    <row r="18" spans="1:13">
      <c r="A18" s="109">
        <v>2014</v>
      </c>
      <c r="B18" s="130">
        <v>2.3938164994275552E-2</v>
      </c>
      <c r="C18" s="130">
        <v>2.0964291256935632E-2</v>
      </c>
      <c r="D18" s="130">
        <v>0.14340273152469032</v>
      </c>
      <c r="E18" s="130">
        <v>0.14625530562796785</v>
      </c>
      <c r="F18" s="130">
        <v>1.1605294458890374E-2</v>
      </c>
      <c r="G18" s="130">
        <v>1.0163551517706546E-2</v>
      </c>
      <c r="H18" s="130">
        <v>6.9522075979976242E-2</v>
      </c>
      <c r="I18" s="130">
        <v>7.0905012493374719E-2</v>
      </c>
      <c r="J18" s="131">
        <v>3.5543459453165928E-2</v>
      </c>
      <c r="K18" s="131">
        <v>3.112784277464218E-2</v>
      </c>
      <c r="L18" s="131">
        <v>0.21292480750466658</v>
      </c>
      <c r="M18" s="131">
        <v>0.21716031812134257</v>
      </c>
    </row>
    <row r="19" spans="1:13">
      <c r="A19" s="109">
        <v>2015</v>
      </c>
      <c r="B19" s="130">
        <v>2.2918947625760296E-2</v>
      </c>
      <c r="C19" s="130">
        <v>2.0122477337949342E-2</v>
      </c>
      <c r="D19" s="130">
        <v>0.13712206288145848</v>
      </c>
      <c r="E19" s="130">
        <v>0.13996675143502585</v>
      </c>
      <c r="F19" s="130">
        <v>1.0811105057376322E-2</v>
      </c>
      <c r="G19" s="130">
        <v>9.4919810484984189E-3</v>
      </c>
      <c r="H19" s="130">
        <v>6.4681897777426084E-2</v>
      </c>
      <c r="I19" s="130">
        <v>6.6023766841848824E-2</v>
      </c>
      <c r="J19" s="131">
        <v>3.373005268313662E-2</v>
      </c>
      <c r="K19" s="131">
        <v>2.9614458386447759E-2</v>
      </c>
      <c r="L19" s="131">
        <v>0.20180396065888456</v>
      </c>
      <c r="M19" s="131">
        <v>0.20599051827687467</v>
      </c>
    </row>
    <row r="20" spans="1:13">
      <c r="A20" s="109">
        <v>2016</v>
      </c>
      <c r="B20" s="130">
        <v>2.2757871692578736E-2</v>
      </c>
      <c r="C20" s="130">
        <v>2.0029011838151298E-2</v>
      </c>
      <c r="D20" s="130">
        <v>0.13214000163211229</v>
      </c>
      <c r="E20" s="130">
        <v>0.13491016778449483</v>
      </c>
      <c r="F20" s="130">
        <v>1.2402429083357204E-2</v>
      </c>
      <c r="G20" s="130">
        <v>1.0915273725416008E-2</v>
      </c>
      <c r="H20" s="130">
        <v>7.2012753277425484E-2</v>
      </c>
      <c r="I20" s="130">
        <v>7.352241945878657E-2</v>
      </c>
      <c r="J20" s="131">
        <v>3.5160300775935939E-2</v>
      </c>
      <c r="K20" s="131">
        <v>3.0944285563567306E-2</v>
      </c>
      <c r="L20" s="131">
        <v>0.20415275490953777</v>
      </c>
      <c r="M20" s="131">
        <v>0.2084325872432814</v>
      </c>
    </row>
    <row r="21" spans="1:13">
      <c r="A21" s="109">
        <v>2017</v>
      </c>
      <c r="B21" s="130">
        <v>2.4227773198410359E-2</v>
      </c>
      <c r="C21" s="130">
        <v>2.1141223716702993E-2</v>
      </c>
      <c r="D21" s="130">
        <v>0.13733035386060699</v>
      </c>
      <c r="E21" s="130">
        <v>0.14016104191466991</v>
      </c>
      <c r="F21" s="130">
        <v>1.2395258813436304E-2</v>
      </c>
      <c r="G21" s="130">
        <v>1.0816138051782867E-2</v>
      </c>
      <c r="H21" s="130">
        <v>7.0260079830807703E-2</v>
      </c>
      <c r="I21" s="130">
        <v>7.170829840058178E-2</v>
      </c>
      <c r="J21" s="131">
        <v>3.6623032011846662E-2</v>
      </c>
      <c r="K21" s="131">
        <v>3.1957361768485862E-2</v>
      </c>
      <c r="L21" s="131">
        <v>0.20759043369141469</v>
      </c>
      <c r="M21" s="131">
        <v>0.21186934031525168</v>
      </c>
    </row>
    <row r="22" spans="1:13">
      <c r="A22" s="109">
        <v>2018</v>
      </c>
      <c r="B22" s="130">
        <v>2.6683495350843651E-2</v>
      </c>
      <c r="C22" s="130">
        <v>2.3206116241271311E-2</v>
      </c>
      <c r="D22" s="130">
        <v>0.14835830019636459</v>
      </c>
      <c r="E22" s="130">
        <v>0.15136056321448191</v>
      </c>
      <c r="F22" s="130">
        <v>1.2332989314338311E-2</v>
      </c>
      <c r="G22" s="130">
        <v>1.0725760619732414E-2</v>
      </c>
      <c r="H22" s="130">
        <v>6.8570526722890907E-2</v>
      </c>
      <c r="I22" s="130">
        <v>6.9958158936528292E-2</v>
      </c>
      <c r="J22" s="131">
        <v>3.9016484665181962E-2</v>
      </c>
      <c r="K22" s="131">
        <v>3.3931876861003726E-2</v>
      </c>
      <c r="L22" s="131">
        <v>0.2169288269192555</v>
      </c>
      <c r="M22" s="131">
        <v>0.2213187221510102</v>
      </c>
    </row>
    <row r="23" spans="1:13">
      <c r="A23" s="109">
        <v>2019</v>
      </c>
      <c r="B23" s="130">
        <v>2.7229236083588074E-2</v>
      </c>
      <c r="C23" s="130">
        <v>2.3471414808958278E-2</v>
      </c>
      <c r="D23" s="130">
        <v>0.15387333074207915</v>
      </c>
      <c r="E23" s="130">
        <v>0.15704383715270256</v>
      </c>
      <c r="F23" s="130">
        <v>1.0799234365902683E-2</v>
      </c>
      <c r="G23" s="130">
        <v>9.3088659793153661E-3</v>
      </c>
      <c r="H23" s="130">
        <v>6.1026837339272208E-2</v>
      </c>
      <c r="I23" s="130">
        <v>6.2284274076821966E-2</v>
      </c>
      <c r="J23" s="131">
        <v>3.8028470449490759E-2</v>
      </c>
      <c r="K23" s="131">
        <v>3.2780280788273643E-2</v>
      </c>
      <c r="L23" s="131">
        <v>0.21490016808135137</v>
      </c>
      <c r="M23" s="131">
        <v>0.21932811122952453</v>
      </c>
    </row>
    <row r="24" spans="1:13">
      <c r="A24" s="118">
        <v>2020</v>
      </c>
      <c r="B24" s="132">
        <v>3.1678568529533997E-2</v>
      </c>
      <c r="C24" s="132">
        <v>2.6652658745850242E-2</v>
      </c>
      <c r="D24" s="132">
        <v>0.17157628195405256</v>
      </c>
      <c r="E24" s="132">
        <v>0.17478331885239293</v>
      </c>
      <c r="F24" s="132">
        <v>1.3049324396721908E-2</v>
      </c>
      <c r="G24" s="132">
        <v>1.0979005875390902E-2</v>
      </c>
      <c r="H24" s="132">
        <v>7.0677264344014556E-2</v>
      </c>
      <c r="I24" s="132">
        <v>7.1998336184735001E-2</v>
      </c>
      <c r="J24" s="133">
        <v>4.4727892926255904E-2</v>
      </c>
      <c r="K24" s="133">
        <v>3.7631664621241144E-2</v>
      </c>
      <c r="L24" s="133">
        <v>0.24225354629806711</v>
      </c>
      <c r="M24" s="133">
        <v>0.24678165503712793</v>
      </c>
    </row>
    <row r="25" spans="1:13">
      <c r="A25" s="163" t="s">
        <v>259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</row>
  </sheetData>
  <mergeCells count="5">
    <mergeCell ref="A3:A4"/>
    <mergeCell ref="B3:E3"/>
    <mergeCell ref="F3:I3"/>
    <mergeCell ref="J3:M3"/>
    <mergeCell ref="A25:M25"/>
  </mergeCells>
  <hyperlinks>
    <hyperlink ref="P1" location="Índice!A1" display="Volver al índice" xr:uid="{00000000-0004-0000-2400-000000000000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R18"/>
  <sheetViews>
    <sheetView workbookViewId="0">
      <selection activeCell="R1" sqref="R1"/>
    </sheetView>
  </sheetViews>
  <sheetFormatPr defaultColWidth="8.7109375" defaultRowHeight="15"/>
  <sheetData>
    <row r="1" spans="1:18" ht="18.75">
      <c r="A1" s="13" t="s">
        <v>260</v>
      </c>
      <c r="R1" s="103" t="s">
        <v>44</v>
      </c>
    </row>
    <row r="18" spans="1:1">
      <c r="A18" t="s">
        <v>261</v>
      </c>
    </row>
  </sheetData>
  <hyperlinks>
    <hyperlink ref="R1" location="Índice!A1" display="Volver al índice" xr:uid="{00000000-0004-0000-25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29C5D1"/>
  </sheetPr>
  <dimension ref="A1:S16"/>
  <sheetViews>
    <sheetView topLeftCell="A3" workbookViewId="0">
      <selection activeCell="A16" sqref="A16"/>
    </sheetView>
  </sheetViews>
  <sheetFormatPr defaultColWidth="9.140625" defaultRowHeight="15"/>
  <sheetData>
    <row r="1" spans="1:19" ht="18.75">
      <c r="A1" s="13" t="s">
        <v>52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S1" s="103" t="s">
        <v>44</v>
      </c>
    </row>
    <row r="3" spans="1:19" ht="90">
      <c r="A3" s="21" t="s">
        <v>53</v>
      </c>
      <c r="B3" s="22" t="s">
        <v>54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2" t="s">
        <v>55</v>
      </c>
      <c r="I3" s="22" t="s">
        <v>60</v>
      </c>
      <c r="J3" s="22" t="s">
        <v>61</v>
      </c>
      <c r="K3" s="22" t="s">
        <v>62</v>
      </c>
      <c r="L3" s="22" t="s">
        <v>63</v>
      </c>
      <c r="M3" s="22" t="s">
        <v>64</v>
      </c>
      <c r="N3" s="22" t="s">
        <v>65</v>
      </c>
      <c r="O3" s="22" t="s">
        <v>66</v>
      </c>
    </row>
    <row r="4" spans="1:19">
      <c r="A4" s="20">
        <v>2009</v>
      </c>
      <c r="B4" s="4">
        <v>3627.8</v>
      </c>
      <c r="C4" s="5">
        <v>393.39538499999998</v>
      </c>
      <c r="D4" s="5">
        <v>8.3282600000000002</v>
      </c>
      <c r="E4" s="6">
        <v>0.10843910496719773</v>
      </c>
      <c r="F4" s="7">
        <v>2.1170202594013657E-2</v>
      </c>
      <c r="G4" s="8">
        <v>1</v>
      </c>
      <c r="H4" s="4">
        <v>1</v>
      </c>
      <c r="I4" s="4">
        <v>1</v>
      </c>
      <c r="J4" s="4"/>
      <c r="K4" s="3"/>
      <c r="L4" s="3"/>
      <c r="M4" s="3">
        <v>2858.5</v>
      </c>
      <c r="N4" s="4">
        <v>17601.62</v>
      </c>
      <c r="O4" s="9">
        <v>2.2349953299753089E-2</v>
      </c>
    </row>
    <row r="5" spans="1:19">
      <c r="A5" s="19">
        <v>2010</v>
      </c>
      <c r="B5" s="4">
        <v>3654.3</v>
      </c>
      <c r="C5" s="5">
        <v>390.65164499999997</v>
      </c>
      <c r="D5" s="5">
        <v>8.6816800000000001</v>
      </c>
      <c r="E5" s="6">
        <v>0.1069019087102865</v>
      </c>
      <c r="F5" s="7">
        <v>2.2223584902605491E-2</v>
      </c>
      <c r="G5" s="8">
        <v>1.0073047025745632</v>
      </c>
      <c r="H5" s="4">
        <v>0.99302549011854824</v>
      </c>
      <c r="I5" s="4">
        <v>1.0424362351799776</v>
      </c>
      <c r="J5" s="9">
        <v>7.3047025745630956E-3</v>
      </c>
      <c r="K5" s="9">
        <v>-6.9745098814517174E-3</v>
      </c>
      <c r="L5" s="9">
        <v>4.2436235179977549E-2</v>
      </c>
      <c r="M5" s="10">
        <v>2983.2301649399901</v>
      </c>
      <c r="N5" s="4">
        <v>18447.919999999998</v>
      </c>
      <c r="O5" s="9">
        <v>2.1175918206496992E-2</v>
      </c>
    </row>
    <row r="6" spans="1:19">
      <c r="A6" s="19">
        <v>2011</v>
      </c>
      <c r="B6" s="4">
        <v>4503.5</v>
      </c>
      <c r="C6" s="5">
        <v>470.78395</v>
      </c>
      <c r="D6" s="5">
        <v>9.1917000000000009</v>
      </c>
      <c r="E6" s="6">
        <v>0.10453734872876652</v>
      </c>
      <c r="F6" s="7">
        <v>1.9524242489575103E-2</v>
      </c>
      <c r="G6" s="8">
        <v>1.2413859639450906</v>
      </c>
      <c r="H6" s="4">
        <v>1.1967195548061653</v>
      </c>
      <c r="I6" s="4">
        <v>1.1036759178988169</v>
      </c>
      <c r="J6" s="9">
        <v>0.23238376706893243</v>
      </c>
      <c r="K6" s="9">
        <v>0.20512470899744972</v>
      </c>
      <c r="L6" s="9">
        <v>5.8746694188221725E-2</v>
      </c>
      <c r="M6" s="10">
        <v>3266.0110412713102</v>
      </c>
      <c r="N6" s="4">
        <v>20283.78</v>
      </c>
      <c r="O6" s="9">
        <v>2.3209872617431269E-2</v>
      </c>
    </row>
    <row r="7" spans="1:19">
      <c r="A7" s="19">
        <v>2012</v>
      </c>
      <c r="B7" s="4">
        <v>4203.3999999999996</v>
      </c>
      <c r="C7" s="5">
        <v>522.60610999999994</v>
      </c>
      <c r="D7" s="5">
        <v>10.280094999999999</v>
      </c>
      <c r="E7" s="6">
        <v>0.12432937859827758</v>
      </c>
      <c r="F7" s="7">
        <v>1.9670828188365422E-2</v>
      </c>
      <c r="G7" s="8">
        <v>1.1586636529025853</v>
      </c>
      <c r="H7" s="4">
        <v>1.3284500274450346</v>
      </c>
      <c r="I7" s="4">
        <v>1.2343628801214177</v>
      </c>
      <c r="J7" s="9">
        <v>-6.6637060064394446E-2</v>
      </c>
      <c r="K7" s="9">
        <v>0.11007630995066832</v>
      </c>
      <c r="L7" s="9">
        <v>0.11841063133043923</v>
      </c>
      <c r="M7" s="10">
        <v>3428.4092666655101</v>
      </c>
      <c r="N7" s="4">
        <v>21386.15</v>
      </c>
      <c r="O7" s="9">
        <v>2.4436661577703321E-2</v>
      </c>
    </row>
    <row r="8" spans="1:19">
      <c r="A8" s="19">
        <v>2013</v>
      </c>
      <c r="B8" s="4">
        <v>4505.3</v>
      </c>
      <c r="C8" s="5">
        <v>565.44618500000001</v>
      </c>
      <c r="D8" s="5">
        <v>10.807955</v>
      </c>
      <c r="E8" s="6">
        <v>0.12550688855348147</v>
      </c>
      <c r="F8" s="7">
        <v>1.9114029392558372E-2</v>
      </c>
      <c r="G8" s="8">
        <v>1.2418821324218534</v>
      </c>
      <c r="H8" s="4">
        <v>1.4373482927360728</v>
      </c>
      <c r="I8" s="4">
        <v>1.2977446669532411</v>
      </c>
      <c r="J8" s="9">
        <v>7.1822810106104723E-2</v>
      </c>
      <c r="K8" s="9">
        <v>8.1973926787805976E-2</v>
      </c>
      <c r="L8" s="9">
        <v>5.1347774509865954E-2</v>
      </c>
      <c r="M8" s="10">
        <v>3509.5302240896599</v>
      </c>
      <c r="N8" s="4">
        <v>21990.959999999999</v>
      </c>
      <c r="O8" s="9">
        <v>2.571266488593495E-2</v>
      </c>
    </row>
    <row r="9" spans="1:19">
      <c r="A9" s="19">
        <v>2014</v>
      </c>
      <c r="B9" s="4">
        <v>4679.5</v>
      </c>
      <c r="C9" s="5">
        <v>586.31231700000001</v>
      </c>
      <c r="D9" s="5">
        <v>11.30485</v>
      </c>
      <c r="E9" s="6">
        <v>0.12529379570466931</v>
      </c>
      <c r="F9" s="7">
        <v>1.9281276671525221E-2</v>
      </c>
      <c r="G9" s="8">
        <v>1.2899002150063399</v>
      </c>
      <c r="H9" s="4">
        <v>1.4903894131854141</v>
      </c>
      <c r="I9" s="4">
        <v>1.3574083902279708</v>
      </c>
      <c r="J9" s="9">
        <v>3.8665571660044792E-2</v>
      </c>
      <c r="K9" s="9">
        <v>3.6902065224827703E-2</v>
      </c>
      <c r="L9" s="9">
        <v>4.5974932353067745E-2</v>
      </c>
      <c r="M9" s="10">
        <v>3589.0409846534999</v>
      </c>
      <c r="N9" s="4">
        <v>22593.47</v>
      </c>
      <c r="O9" s="9">
        <v>2.5950520969111872E-2</v>
      </c>
    </row>
    <row r="10" spans="1:19">
      <c r="A10" s="19">
        <v>2015</v>
      </c>
      <c r="B10" s="4">
        <v>4823</v>
      </c>
      <c r="C10" s="5">
        <v>615.68404299999997</v>
      </c>
      <c r="D10" s="5">
        <v>11.901619999999999</v>
      </c>
      <c r="E10" s="6">
        <v>0.12765582479784365</v>
      </c>
      <c r="F10" s="7">
        <v>1.9330726750701251E-2</v>
      </c>
      <c r="G10" s="8">
        <v>1.3294558685704834</v>
      </c>
      <c r="H10" s="4">
        <v>1.5650515142672556</v>
      </c>
      <c r="I10" s="4">
        <v>1.429064414415496</v>
      </c>
      <c r="J10" s="9">
        <v>3.0665669409124907E-2</v>
      </c>
      <c r="K10" s="9">
        <v>5.0095700104488793E-2</v>
      </c>
      <c r="L10" s="9">
        <v>5.2788847264669529E-2</v>
      </c>
      <c r="M10" s="10">
        <v>3705.5776202909501</v>
      </c>
      <c r="N10" s="4">
        <v>23438.240000000002</v>
      </c>
      <c r="O10" s="9">
        <v>2.6268356455092189E-2</v>
      </c>
    </row>
    <row r="11" spans="1:19">
      <c r="A11" s="19">
        <v>2016</v>
      </c>
      <c r="B11" s="4">
        <v>4860.8</v>
      </c>
      <c r="C11" s="5">
        <v>627.81138999999996</v>
      </c>
      <c r="D11" s="5">
        <v>12.566190000000001</v>
      </c>
      <c r="E11" s="6">
        <v>0.12915803777156024</v>
      </c>
      <c r="F11" s="7">
        <v>2.0015868141544869E-2</v>
      </c>
      <c r="G11" s="8">
        <v>1.3398754065825018</v>
      </c>
      <c r="H11" s="4">
        <v>1.5958788891232163</v>
      </c>
      <c r="I11" s="4">
        <v>1.5088613948171647</v>
      </c>
      <c r="J11" s="9">
        <v>7.8374455732946671E-3</v>
      </c>
      <c r="K11" s="9">
        <v>1.9697354735568461E-2</v>
      </c>
      <c r="L11" s="9">
        <v>5.5838616927779687E-2</v>
      </c>
      <c r="M11" s="10">
        <v>3805.99208908727</v>
      </c>
      <c r="N11" s="4">
        <v>24191.43</v>
      </c>
      <c r="O11" s="9">
        <v>2.5951809793798877E-2</v>
      </c>
    </row>
    <row r="12" spans="1:19">
      <c r="A12" s="19">
        <v>2017</v>
      </c>
      <c r="B12" s="4">
        <v>4957.8</v>
      </c>
      <c r="C12" s="5">
        <v>629.82259699999997</v>
      </c>
      <c r="D12" s="5">
        <v>11.702155000000001</v>
      </c>
      <c r="E12" s="6">
        <v>0.1270367092258663</v>
      </c>
      <c r="F12" s="7">
        <v>1.8580081209756915E-2</v>
      </c>
      <c r="G12" s="8">
        <v>1.3666133744969402</v>
      </c>
      <c r="H12" s="4">
        <v>1.600991320729398</v>
      </c>
      <c r="I12" s="4">
        <v>1.4051140334235483</v>
      </c>
      <c r="J12" s="9">
        <v>1.9955562870309414E-2</v>
      </c>
      <c r="K12" s="9">
        <v>3.2035210447520124E-3</v>
      </c>
      <c r="L12" s="9">
        <v>-6.875870888471361E-2</v>
      </c>
      <c r="M12" s="10">
        <v>3910.2532375608098</v>
      </c>
      <c r="N12" s="4">
        <v>24979.19</v>
      </c>
      <c r="O12" s="9">
        <v>2.5213891923637235E-2</v>
      </c>
    </row>
    <row r="13" spans="1:19">
      <c r="A13" s="19">
        <v>2018</v>
      </c>
      <c r="B13" s="4">
        <v>5467.5</v>
      </c>
      <c r="C13" s="5">
        <v>622.43510900000001</v>
      </c>
      <c r="D13" s="5">
        <v>12.23897</v>
      </c>
      <c r="E13" s="6">
        <v>0.11384272684042067</v>
      </c>
      <c r="F13" s="7">
        <v>1.9663045710360146E-2</v>
      </c>
      <c r="G13" s="8">
        <v>1.5071117481669332</v>
      </c>
      <c r="H13" s="4">
        <v>1.5822125340895905</v>
      </c>
      <c r="I13" s="4">
        <v>1.469571074870381</v>
      </c>
      <c r="J13" s="9">
        <v>0.10280769696236229</v>
      </c>
      <c r="K13" s="9">
        <v>-1.17294743554588E-2</v>
      </c>
      <c r="L13" s="9">
        <v>4.5873174641764602E-2</v>
      </c>
      <c r="M13" s="10">
        <v>4067.65815923226</v>
      </c>
      <c r="N13" s="4">
        <v>26117.4</v>
      </c>
      <c r="O13" s="9">
        <v>2.3832200333877031E-2</v>
      </c>
    </row>
    <row r="14" spans="1:19">
      <c r="A14" s="19">
        <v>2019</v>
      </c>
      <c r="B14" s="4">
        <v>6713.2</v>
      </c>
      <c r="C14" s="5">
        <v>662.11853099999996</v>
      </c>
      <c r="D14" s="5">
        <v>13.888465</v>
      </c>
      <c r="E14" s="6">
        <v>9.8629346809271282E-2</v>
      </c>
      <c r="F14" s="7">
        <v>2.0975798667081862E-2</v>
      </c>
      <c r="G14" s="8">
        <v>1.8504878990021498</v>
      </c>
      <c r="H14" s="4">
        <v>1.6830866762709991</v>
      </c>
      <c r="I14" s="4">
        <v>1.6676310537855445</v>
      </c>
      <c r="J14" s="9">
        <v>0.22783721993598532</v>
      </c>
      <c r="K14" s="9">
        <v>6.3755115073368951E-2</v>
      </c>
      <c r="L14" s="9">
        <v>0.13477400467523001</v>
      </c>
      <c r="M14" s="10">
        <v>4187.2503405206398</v>
      </c>
      <c r="N14" s="4">
        <v>27022.639999999999</v>
      </c>
      <c r="O14" s="9">
        <v>2.4502362870541146E-2</v>
      </c>
    </row>
    <row r="15" spans="1:19">
      <c r="A15" s="23">
        <v>2020</v>
      </c>
      <c r="B15" s="24">
        <v>6426.1</v>
      </c>
      <c r="C15" s="25">
        <v>757.85265400000003</v>
      </c>
      <c r="D15" s="25">
        <v>16.166725</v>
      </c>
      <c r="E15" s="26">
        <v>0.117933529512457</v>
      </c>
      <c r="F15" s="27">
        <v>2.133227998169681E-2</v>
      </c>
      <c r="G15" s="28">
        <v>1.7713490269584873</v>
      </c>
      <c r="H15" s="24">
        <v>1.9264401233380002</v>
      </c>
      <c r="I15" s="24">
        <v>1.9411887957388456</v>
      </c>
      <c r="J15" s="29">
        <v>-4.2766489900494468E-2</v>
      </c>
      <c r="K15" s="29">
        <v>0.144587590465732</v>
      </c>
      <c r="L15" s="29">
        <v>0.16403972649245252</v>
      </c>
      <c r="M15" s="30"/>
      <c r="N15" s="31"/>
      <c r="O15" s="31"/>
    </row>
    <row r="16" spans="1:19">
      <c r="A16" t="s">
        <v>67</v>
      </c>
    </row>
  </sheetData>
  <hyperlinks>
    <hyperlink ref="S1" location="Índice!A1" display="Volver al índice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"/>
  <sheetViews>
    <sheetView topLeftCell="A15" workbookViewId="0">
      <selection activeCell="R1" sqref="R1"/>
    </sheetView>
  </sheetViews>
  <sheetFormatPr defaultColWidth="9.140625" defaultRowHeight="15"/>
  <sheetData>
    <row r="1" spans="1:18">
      <c r="A1" s="19" t="s">
        <v>68</v>
      </c>
      <c r="R1" s="103" t="s">
        <v>44</v>
      </c>
    </row>
  </sheetData>
  <hyperlinks>
    <hyperlink ref="R1" location="Índice!A1" display="Volve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29C5D1"/>
  </sheetPr>
  <dimension ref="A1:U24"/>
  <sheetViews>
    <sheetView topLeftCell="A16" workbookViewId="0">
      <selection activeCell="A24" sqref="A24"/>
    </sheetView>
  </sheetViews>
  <sheetFormatPr defaultColWidth="9.140625" defaultRowHeight="15"/>
  <cols>
    <col min="1" max="1" width="12.140625" customWidth="1"/>
    <col min="10" max="10" width="12.28515625" customWidth="1"/>
  </cols>
  <sheetData>
    <row r="1" spans="1:21" ht="18.75">
      <c r="A1" s="13" t="s">
        <v>69</v>
      </c>
      <c r="B1" s="13"/>
      <c r="C1" s="13"/>
      <c r="D1" s="13"/>
      <c r="E1" s="13"/>
      <c r="F1" s="13"/>
      <c r="G1" s="13"/>
      <c r="H1" s="13"/>
      <c r="I1" s="13"/>
      <c r="J1" s="13"/>
      <c r="S1" s="103" t="s">
        <v>44</v>
      </c>
    </row>
    <row r="3" spans="1:21">
      <c r="A3" s="32"/>
      <c r="B3" s="33" t="s">
        <v>70</v>
      </c>
      <c r="C3" s="33" t="s">
        <v>71</v>
      </c>
      <c r="D3" s="33" t="s">
        <v>72</v>
      </c>
      <c r="E3" s="33" t="s">
        <v>73</v>
      </c>
      <c r="F3" s="33" t="s">
        <v>74</v>
      </c>
      <c r="G3" s="33" t="s">
        <v>75</v>
      </c>
      <c r="H3" s="33" t="s">
        <v>76</v>
      </c>
      <c r="I3" s="33" t="s">
        <v>77</v>
      </c>
      <c r="J3" s="34" t="s">
        <v>78</v>
      </c>
      <c r="K3" s="32" t="s">
        <v>53</v>
      </c>
      <c r="L3" s="33" t="s">
        <v>70</v>
      </c>
      <c r="M3" s="33" t="s">
        <v>71</v>
      </c>
      <c r="N3" s="33" t="s">
        <v>72</v>
      </c>
      <c r="O3" s="33" t="s">
        <v>73</v>
      </c>
      <c r="P3" s="33" t="s">
        <v>74</v>
      </c>
      <c r="Q3" s="33" t="s">
        <v>75</v>
      </c>
      <c r="R3" s="33" t="s">
        <v>76</v>
      </c>
      <c r="S3" s="33" t="s">
        <v>77</v>
      </c>
      <c r="T3" s="34" t="s">
        <v>78</v>
      </c>
      <c r="U3" s="19"/>
    </row>
    <row r="4" spans="1:21">
      <c r="A4" s="19">
        <v>2000</v>
      </c>
      <c r="B4" s="11">
        <v>1863.7776637008049</v>
      </c>
      <c r="C4" s="11">
        <v>495.60798936885999</v>
      </c>
      <c r="D4" s="11">
        <v>279.30183835241201</v>
      </c>
      <c r="E4" s="11">
        <v>352.7309017032</v>
      </c>
      <c r="F4" s="11">
        <v>133.24869055520711</v>
      </c>
      <c r="G4" s="11">
        <v>83.839076067047301</v>
      </c>
      <c r="H4" s="11">
        <v>794.88612820509195</v>
      </c>
      <c r="I4" s="11">
        <v>1052.84009785331</v>
      </c>
      <c r="J4" s="11">
        <v>5056.2323858059335</v>
      </c>
      <c r="K4" s="35">
        <v>2000</v>
      </c>
      <c r="L4" s="4">
        <v>1</v>
      </c>
      <c r="M4" s="4">
        <v>1</v>
      </c>
      <c r="N4" s="4">
        <v>1</v>
      </c>
      <c r="O4" s="4">
        <v>1</v>
      </c>
      <c r="P4" s="4">
        <v>1</v>
      </c>
      <c r="Q4" s="4">
        <v>1</v>
      </c>
      <c r="R4" s="4">
        <v>1</v>
      </c>
      <c r="S4" s="4">
        <v>1</v>
      </c>
      <c r="T4" s="4">
        <v>1</v>
      </c>
    </row>
    <row r="5" spans="1:21">
      <c r="A5" s="19">
        <v>2001</v>
      </c>
      <c r="B5" s="11">
        <v>1782.267606920361</v>
      </c>
      <c r="C5" s="11">
        <v>498.244567590972</v>
      </c>
      <c r="D5" s="11">
        <v>279.834343774606</v>
      </c>
      <c r="E5" s="11">
        <v>351.12349144678302</v>
      </c>
      <c r="F5" s="11">
        <v>134.24954628028121</v>
      </c>
      <c r="G5" s="11">
        <v>84.554137004924698</v>
      </c>
      <c r="H5" s="11">
        <v>792.87287667795999</v>
      </c>
      <c r="I5" s="11">
        <v>1017.75101028074</v>
      </c>
      <c r="J5" s="11">
        <v>4940.8975799766285</v>
      </c>
      <c r="K5" s="35">
        <v>2001</v>
      </c>
      <c r="L5" s="4">
        <v>0.95626621223767982</v>
      </c>
      <c r="M5" s="4">
        <v>1.0053198864398243</v>
      </c>
      <c r="N5" s="4">
        <v>1.0019065589590646</v>
      </c>
      <c r="O5" s="4">
        <v>0.99544295595124943</v>
      </c>
      <c r="P5" s="4">
        <v>1.0075111861955555</v>
      </c>
      <c r="Q5" s="4">
        <v>1.0085289696812205</v>
      </c>
      <c r="R5" s="4">
        <v>0.99746724536295783</v>
      </c>
      <c r="S5" s="4">
        <v>0.96667196885442064</v>
      </c>
      <c r="T5" s="4">
        <v>0.97718957574950915</v>
      </c>
    </row>
    <row r="6" spans="1:21">
      <c r="A6" s="19">
        <v>2002</v>
      </c>
      <c r="B6" s="11">
        <v>1748.384243635244</v>
      </c>
      <c r="C6" s="11">
        <v>501.61226077184199</v>
      </c>
      <c r="D6" s="11">
        <v>280.89241429506001</v>
      </c>
      <c r="E6" s="11">
        <v>350.48975212151402</v>
      </c>
      <c r="F6" s="11">
        <v>135.3081901935779</v>
      </c>
      <c r="G6" s="11">
        <v>85.147181834540106</v>
      </c>
      <c r="H6" s="11">
        <v>792.504968257575</v>
      </c>
      <c r="I6" s="11">
        <v>971.49545612084603</v>
      </c>
      <c r="J6" s="11">
        <v>4865.8344672301992</v>
      </c>
      <c r="K6" s="35">
        <v>2002</v>
      </c>
      <c r="L6" s="4">
        <v>0.93808627374767961</v>
      </c>
      <c r="M6" s="4">
        <v>1.0121149608799249</v>
      </c>
      <c r="N6" s="4">
        <v>1.0056948280470717</v>
      </c>
      <c r="O6" s="4">
        <v>0.99364629078182731</v>
      </c>
      <c r="P6" s="4">
        <v>1.0154560591161494</v>
      </c>
      <c r="Q6" s="4">
        <v>1.0156025785213412</v>
      </c>
      <c r="R6" s="4">
        <v>0.99700440118021205</v>
      </c>
      <c r="S6" s="4">
        <v>0.92273789543319851</v>
      </c>
      <c r="T6" s="4">
        <v>0.96234391458940305</v>
      </c>
    </row>
    <row r="7" spans="1:21">
      <c r="A7" s="19">
        <v>2003</v>
      </c>
      <c r="B7" s="11">
        <v>1766.6046502412798</v>
      </c>
      <c r="C7" s="11">
        <v>504.56221696930504</v>
      </c>
      <c r="D7" s="11">
        <v>282.92662766289004</v>
      </c>
      <c r="E7" s="11">
        <v>352.46232966366898</v>
      </c>
      <c r="F7" s="11">
        <v>136.5828127906012</v>
      </c>
      <c r="G7" s="11">
        <v>86.165599606351094</v>
      </c>
      <c r="H7" s="11">
        <v>792.16897354378398</v>
      </c>
      <c r="I7" s="11">
        <v>970.86592703544693</v>
      </c>
      <c r="J7" s="11">
        <v>4892.3391375133269</v>
      </c>
      <c r="K7" s="35">
        <v>2003</v>
      </c>
      <c r="L7" s="4">
        <v>0.94786233607576686</v>
      </c>
      <c r="M7" s="4">
        <v>1.0180671574964881</v>
      </c>
      <c r="N7" s="4">
        <v>1.0129780359909568</v>
      </c>
      <c r="O7" s="4">
        <v>0.99923859225762701</v>
      </c>
      <c r="P7" s="4">
        <v>1.0250218011261636</v>
      </c>
      <c r="Q7" s="4">
        <v>1.0277498709246657</v>
      </c>
      <c r="R7" s="4">
        <v>0.99658170577533733</v>
      </c>
      <c r="S7" s="4">
        <v>0.92213996124862219</v>
      </c>
      <c r="T7" s="4">
        <v>0.96758589483491808</v>
      </c>
    </row>
    <row r="8" spans="1:21">
      <c r="A8" s="19">
        <v>2004</v>
      </c>
      <c r="B8" s="11">
        <v>1816.8452789684459</v>
      </c>
      <c r="C8" s="11">
        <v>508.77516642237401</v>
      </c>
      <c r="D8" s="11">
        <v>284.73368772031097</v>
      </c>
      <c r="E8" s="11">
        <v>354.41872761132799</v>
      </c>
      <c r="F8" s="11">
        <v>138.10400594881011</v>
      </c>
      <c r="G8" s="11">
        <v>87.058879164713701</v>
      </c>
      <c r="H8" s="11">
        <v>792.31814367275501</v>
      </c>
      <c r="I8" s="11">
        <v>987.96403552434003</v>
      </c>
      <c r="J8" s="11">
        <v>4970.2179250330773</v>
      </c>
      <c r="K8" s="35">
        <v>2004</v>
      </c>
      <c r="L8" s="4">
        <v>0.97481867840439307</v>
      </c>
      <c r="M8" s="4">
        <v>1.0265677255733547</v>
      </c>
      <c r="N8" s="4">
        <v>1.0194479542273733</v>
      </c>
      <c r="O8" s="4">
        <v>1.0047850242209517</v>
      </c>
      <c r="P8" s="4">
        <v>1.0364379970517712</v>
      </c>
      <c r="Q8" s="4">
        <v>1.0384045632264778</v>
      </c>
      <c r="R8" s="4">
        <v>0.99676936803748784</v>
      </c>
      <c r="S8" s="4">
        <v>0.9383799472861557</v>
      </c>
      <c r="T8" s="4">
        <v>0.98298842810027487</v>
      </c>
    </row>
    <row r="9" spans="1:21">
      <c r="A9" s="19">
        <v>2005</v>
      </c>
      <c r="B9" s="11">
        <v>1853.0123107673521</v>
      </c>
      <c r="C9" s="11">
        <v>512.32254050293295</v>
      </c>
      <c r="D9" s="11">
        <v>287.32285223921303</v>
      </c>
      <c r="E9" s="11">
        <v>358.003122467602</v>
      </c>
      <c r="F9" s="11">
        <v>139.5571843703064</v>
      </c>
      <c r="G9" s="11">
        <v>88.2157262280342</v>
      </c>
      <c r="H9" s="11">
        <v>794.989867488242</v>
      </c>
      <c r="I9" s="11">
        <v>991.41976365371102</v>
      </c>
      <c r="J9" s="11">
        <v>5024.8433677173944</v>
      </c>
      <c r="K9" s="35">
        <v>2005</v>
      </c>
      <c r="L9" s="4">
        <v>0.99422390709840547</v>
      </c>
      <c r="M9" s="4">
        <v>1.0337253464282494</v>
      </c>
      <c r="N9" s="4">
        <v>1.0287180848293609</v>
      </c>
      <c r="O9" s="4">
        <v>1.0149468638527117</v>
      </c>
      <c r="P9" s="4">
        <v>1.0473437584175402</v>
      </c>
      <c r="Q9" s="4">
        <v>1.0522029865582825</v>
      </c>
      <c r="R9" s="4">
        <v>1.0001305083576995</v>
      </c>
      <c r="S9" s="4">
        <v>0.94166223881021238</v>
      </c>
      <c r="T9" s="4">
        <v>0.99379201435110942</v>
      </c>
    </row>
    <row r="10" spans="1:21">
      <c r="A10" s="19">
        <v>2006</v>
      </c>
      <c r="B10" s="11">
        <v>1804.821425152664</v>
      </c>
      <c r="C10" s="11">
        <v>516.16947589823098</v>
      </c>
      <c r="D10" s="11">
        <v>289.67335864338997</v>
      </c>
      <c r="E10" s="11">
        <v>357.04523898519199</v>
      </c>
      <c r="F10" s="11">
        <v>141.08799995114219</v>
      </c>
      <c r="G10" s="11">
        <v>89.622274055082698</v>
      </c>
      <c r="H10" s="11">
        <v>798.30297718446297</v>
      </c>
      <c r="I10" s="11">
        <v>949.02635213339897</v>
      </c>
      <c r="J10" s="11">
        <v>4945.7491020035641</v>
      </c>
      <c r="K10" s="35">
        <v>2006</v>
      </c>
      <c r="L10" s="4">
        <v>0.96836734354296605</v>
      </c>
      <c r="M10" s="4">
        <v>1.0414873992559228</v>
      </c>
      <c r="N10" s="4">
        <v>1.0371337344292435</v>
      </c>
      <c r="O10" s="4">
        <v>1.0122312427438587</v>
      </c>
      <c r="P10" s="4">
        <v>1.0588321683558093</v>
      </c>
      <c r="Q10" s="4">
        <v>1.0689797438059849</v>
      </c>
      <c r="R10" s="4">
        <v>1.004298538945555</v>
      </c>
      <c r="S10" s="4">
        <v>0.90139647423043423</v>
      </c>
      <c r="T10" s="4">
        <v>0.97814908901091602</v>
      </c>
    </row>
    <row r="11" spans="1:21">
      <c r="A11" s="19">
        <v>2007</v>
      </c>
      <c r="B11" s="11">
        <v>1873.034639994321</v>
      </c>
      <c r="C11" s="11">
        <v>519.81632256460693</v>
      </c>
      <c r="D11" s="11">
        <v>292.51556145553002</v>
      </c>
      <c r="E11" s="11">
        <v>362.24553370991703</v>
      </c>
      <c r="F11" s="11">
        <v>142.7064631807861</v>
      </c>
      <c r="G11" s="11">
        <v>90.892062225516298</v>
      </c>
      <c r="H11" s="11">
        <v>801.58914130172593</v>
      </c>
      <c r="I11" s="11">
        <v>995.911004282676</v>
      </c>
      <c r="J11" s="11">
        <v>5078.7107287150793</v>
      </c>
      <c r="K11" s="35">
        <v>2007</v>
      </c>
      <c r="L11" s="4">
        <v>1.004966781432038</v>
      </c>
      <c r="M11" s="4">
        <v>1.0488457283075188</v>
      </c>
      <c r="N11" s="4">
        <v>1.0473098321910987</v>
      </c>
      <c r="O11" s="4">
        <v>1.0269741946644724</v>
      </c>
      <c r="P11" s="4">
        <v>1.0709783532293737</v>
      </c>
      <c r="Q11" s="4">
        <v>1.0841252848830136</v>
      </c>
      <c r="R11" s="4">
        <v>1.0084326708679265</v>
      </c>
      <c r="S11" s="4">
        <v>0.94592807237612853</v>
      </c>
      <c r="T11" s="4">
        <v>1.0044456704506399</v>
      </c>
    </row>
    <row r="12" spans="1:21">
      <c r="A12" s="19">
        <v>2008</v>
      </c>
      <c r="B12" s="11">
        <v>1801.4978417215609</v>
      </c>
      <c r="C12" s="11">
        <v>524.41042058462699</v>
      </c>
      <c r="D12" s="11">
        <v>295.57844566654001</v>
      </c>
      <c r="E12" s="11">
        <v>363.32509715131198</v>
      </c>
      <c r="F12" s="11">
        <v>144.35507122240611</v>
      </c>
      <c r="G12" s="11">
        <v>92.317304892408103</v>
      </c>
      <c r="H12" s="11">
        <v>806.60967868441799</v>
      </c>
      <c r="I12" s="11">
        <v>960.152466091664</v>
      </c>
      <c r="J12" s="11">
        <v>4988.2463260149361</v>
      </c>
      <c r="K12" s="35">
        <v>2008</v>
      </c>
      <c r="L12" s="4">
        <v>0.96658409251692701</v>
      </c>
      <c r="M12" s="4">
        <v>1.0581153488918649</v>
      </c>
      <c r="N12" s="4">
        <v>1.0582760479134077</v>
      </c>
      <c r="O12" s="4">
        <v>1.0300347811800914</v>
      </c>
      <c r="P12" s="4">
        <v>1.0833507678080894</v>
      </c>
      <c r="Q12" s="4">
        <v>1.1011250269335107</v>
      </c>
      <c r="R12" s="4">
        <v>1.0147487169084188</v>
      </c>
      <c r="S12" s="4">
        <v>0.91196418910086008</v>
      </c>
      <c r="T12" s="4">
        <v>0.98655400808280669</v>
      </c>
    </row>
    <row r="13" spans="1:21">
      <c r="A13" s="19">
        <v>2009</v>
      </c>
      <c r="B13" s="11">
        <v>1760.416045150502</v>
      </c>
      <c r="C13" s="11">
        <v>527.80560018762299</v>
      </c>
      <c r="D13" s="11">
        <v>298.657577349505</v>
      </c>
      <c r="E13" s="11">
        <v>369.08581212538297</v>
      </c>
      <c r="F13" s="11">
        <v>146.22067005087041</v>
      </c>
      <c r="G13" s="11">
        <v>93.897847723509898</v>
      </c>
      <c r="H13" s="11">
        <v>811.89446331970703</v>
      </c>
      <c r="I13" s="11">
        <v>969.07307401060098</v>
      </c>
      <c r="J13" s="11">
        <v>4977.0510899177025</v>
      </c>
      <c r="K13" s="35">
        <v>2009</v>
      </c>
      <c r="L13" s="4">
        <v>0.94454187290502067</v>
      </c>
      <c r="M13" s="4">
        <v>1.0649658833380906</v>
      </c>
      <c r="N13" s="4">
        <v>1.0693004353686735</v>
      </c>
      <c r="O13" s="4">
        <v>1.0463665370490973</v>
      </c>
      <c r="P13" s="4">
        <v>1.0973516470714495</v>
      </c>
      <c r="Q13" s="4">
        <v>1.1199771291422445</v>
      </c>
      <c r="R13" s="4">
        <v>1.0213971970463507</v>
      </c>
      <c r="S13" s="4">
        <v>0.92043708820218195</v>
      </c>
      <c r="T13" s="4">
        <v>0.98433986220441294</v>
      </c>
    </row>
    <row r="14" spans="1:21">
      <c r="A14" s="19">
        <v>2010</v>
      </c>
      <c r="B14" s="11">
        <v>1694.403172129493</v>
      </c>
      <c r="C14" s="11">
        <v>530.74512103913708</v>
      </c>
      <c r="D14" s="11">
        <v>301.82738795433801</v>
      </c>
      <c r="E14" s="11">
        <v>374.20481483563503</v>
      </c>
      <c r="F14" s="11">
        <v>147.794209956022</v>
      </c>
      <c r="G14" s="11">
        <v>95.358450306164002</v>
      </c>
      <c r="H14" s="11">
        <v>818.51026989772902</v>
      </c>
      <c r="I14" s="11">
        <v>944.19181101320805</v>
      </c>
      <c r="J14" s="11">
        <v>4907.0352371317258</v>
      </c>
      <c r="K14" s="35">
        <v>2010</v>
      </c>
      <c r="L14" s="4">
        <v>0.90912301672561424</v>
      </c>
      <c r="M14" s="4">
        <v>1.0708970243095215</v>
      </c>
      <c r="N14" s="4">
        <v>1.0806494856417814</v>
      </c>
      <c r="O14" s="4">
        <v>1.0608790242894679</v>
      </c>
      <c r="P14" s="4">
        <v>1.1091606929884872</v>
      </c>
      <c r="Q14" s="4">
        <v>1.1373986305610584</v>
      </c>
      <c r="R14" s="4">
        <v>1.0297201584659452</v>
      </c>
      <c r="S14" s="4">
        <v>0.8968045697901984</v>
      </c>
      <c r="T14" s="4">
        <v>0.97049242651642353</v>
      </c>
    </row>
    <row r="15" spans="1:21">
      <c r="A15" s="19">
        <v>2011</v>
      </c>
      <c r="B15" s="11">
        <v>1665.9254809646011</v>
      </c>
      <c r="C15" s="11">
        <v>533.80615221401297</v>
      </c>
      <c r="D15" s="11">
        <v>304.71584203357997</v>
      </c>
      <c r="E15" s="11">
        <v>379.21825385998198</v>
      </c>
      <c r="F15" s="11">
        <v>149.39438670987809</v>
      </c>
      <c r="G15" s="11">
        <v>96.801176020334296</v>
      </c>
      <c r="H15" s="11">
        <v>824.88878410625398</v>
      </c>
      <c r="I15" s="11">
        <v>963.19036743093397</v>
      </c>
      <c r="J15" s="11">
        <v>4917.9404433395766</v>
      </c>
      <c r="K15" s="35">
        <v>2011</v>
      </c>
      <c r="L15" s="4">
        <v>0.8938434628820805</v>
      </c>
      <c r="M15" s="4">
        <v>1.0770733395436121</v>
      </c>
      <c r="N15" s="4">
        <v>1.0909911794032003</v>
      </c>
      <c r="O15" s="4">
        <v>1.0750922361179156</v>
      </c>
      <c r="P15" s="4">
        <v>1.1211696421735684</v>
      </c>
      <c r="Q15" s="4">
        <v>1.1546069036223756</v>
      </c>
      <c r="R15" s="4">
        <v>1.0377445961585845</v>
      </c>
      <c r="S15" s="4">
        <v>0.91484962378886647</v>
      </c>
      <c r="T15" s="4">
        <v>0.972649211524657</v>
      </c>
    </row>
    <row r="16" spans="1:21">
      <c r="A16" s="19">
        <v>2012</v>
      </c>
      <c r="B16" s="11">
        <v>1624.775799190548</v>
      </c>
      <c r="C16" s="11">
        <v>535.80470260068898</v>
      </c>
      <c r="D16" s="11">
        <v>307.482662850466</v>
      </c>
      <c r="E16" s="11">
        <v>382.27426488551902</v>
      </c>
      <c r="F16" s="11">
        <v>151.16972290621828</v>
      </c>
      <c r="G16" s="11">
        <v>98.136809059140901</v>
      </c>
      <c r="H16" s="11">
        <v>830.60304513372398</v>
      </c>
      <c r="I16" s="11">
        <v>913.09370536569509</v>
      </c>
      <c r="J16" s="11">
        <v>4843.3407119920012</v>
      </c>
      <c r="K16" s="35">
        <v>2012</v>
      </c>
      <c r="L16" s="4">
        <v>0.87176481982529852</v>
      </c>
      <c r="M16" s="4">
        <v>1.0811058620806702</v>
      </c>
      <c r="N16" s="4">
        <v>1.1008973827894986</v>
      </c>
      <c r="O16" s="4">
        <v>1.0837560957649746</v>
      </c>
      <c r="P16" s="4">
        <v>1.1344931216685106</v>
      </c>
      <c r="Q16" s="4">
        <v>1.1705378167652933</v>
      </c>
      <c r="R16" s="4">
        <v>1.0449333755632184</v>
      </c>
      <c r="S16" s="4">
        <v>0.86726722056601846</v>
      </c>
      <c r="T16" s="4">
        <v>0.95789519595428985</v>
      </c>
    </row>
    <row r="17" spans="1:20">
      <c r="A17" s="19">
        <v>2013</v>
      </c>
      <c r="B17" s="11">
        <v>1657.0074157826291</v>
      </c>
      <c r="C17" s="11">
        <v>537.94483091736004</v>
      </c>
      <c r="D17" s="11">
        <v>309.37204286133795</v>
      </c>
      <c r="E17" s="11">
        <v>392.27759105286998</v>
      </c>
      <c r="F17" s="11">
        <v>152.94568558839148</v>
      </c>
      <c r="G17" s="11">
        <v>99.624754639653204</v>
      </c>
      <c r="H17" s="11">
        <v>836.14841665867607</v>
      </c>
      <c r="I17" s="11">
        <v>953.98682166513299</v>
      </c>
      <c r="J17" s="11">
        <v>4939.3075591660509</v>
      </c>
      <c r="K17" s="35">
        <v>2013</v>
      </c>
      <c r="L17" s="4">
        <v>0.88905852240572358</v>
      </c>
      <c r="M17" s="4">
        <v>1.0854240497664587</v>
      </c>
      <c r="N17" s="4">
        <v>1.1076620357614135</v>
      </c>
      <c r="O17" s="4">
        <v>1.1121157493112013</v>
      </c>
      <c r="P17" s="4">
        <v>1.147821302791892</v>
      </c>
      <c r="Q17" s="4">
        <v>1.1882854548633368</v>
      </c>
      <c r="R17" s="4">
        <v>1.0519096849089029</v>
      </c>
      <c r="S17" s="4">
        <v>0.90610798696807426</v>
      </c>
      <c r="T17" s="4">
        <v>0.97687510823906776</v>
      </c>
    </row>
    <row r="18" spans="1:20">
      <c r="A18" s="19">
        <v>2014</v>
      </c>
      <c r="B18" s="11">
        <v>1757.3779662380418</v>
      </c>
      <c r="C18" s="11">
        <v>538.97657553576005</v>
      </c>
      <c r="D18" s="11">
        <v>311.56637531843</v>
      </c>
      <c r="E18" s="11">
        <v>406.533382096629</v>
      </c>
      <c r="F18" s="11">
        <v>154.42583451973081</v>
      </c>
      <c r="G18" s="11">
        <v>101.0451572762543</v>
      </c>
      <c r="H18" s="11">
        <v>841.33967735499391</v>
      </c>
      <c r="I18" s="11">
        <v>1052.6412477399499</v>
      </c>
      <c r="J18" s="11">
        <v>5163.9062160797894</v>
      </c>
      <c r="K18" s="35">
        <v>2014</v>
      </c>
      <c r="L18" s="4">
        <v>0.94291180781108264</v>
      </c>
      <c r="M18" s="4">
        <v>1.0875058253643741</v>
      </c>
      <c r="N18" s="4">
        <v>1.1155185270399397</v>
      </c>
      <c r="O18" s="4">
        <v>1.1525312359468303</v>
      </c>
      <c r="P18" s="4">
        <v>1.1589294714738654</v>
      </c>
      <c r="Q18" s="4">
        <v>1.2052274669087126</v>
      </c>
      <c r="R18" s="4">
        <v>1.0584405080194283</v>
      </c>
      <c r="S18" s="4">
        <v>0.99981112980616382</v>
      </c>
      <c r="T18" s="4">
        <v>1.0212952692950037</v>
      </c>
    </row>
    <row r="19" spans="1:20">
      <c r="A19" s="19">
        <v>2015</v>
      </c>
      <c r="B19" s="11">
        <v>1793.0326044829801</v>
      </c>
      <c r="C19" s="11">
        <v>540.62165874082007</v>
      </c>
      <c r="D19" s="11">
        <v>312.785434583815</v>
      </c>
      <c r="E19" s="11">
        <v>415.56581412290598</v>
      </c>
      <c r="F19" s="11">
        <v>155.76177130664121</v>
      </c>
      <c r="G19" s="11">
        <v>102.17464607938381</v>
      </c>
      <c r="H19" s="11">
        <v>845.61963872026604</v>
      </c>
      <c r="I19" s="11">
        <v>1082.139777451604</v>
      </c>
      <c r="J19" s="11">
        <v>5247.7013454884163</v>
      </c>
      <c r="K19" s="35">
        <v>2015</v>
      </c>
      <c r="L19" s="4">
        <v>0.96204211446694232</v>
      </c>
      <c r="M19" s="4">
        <v>1.0908251487819707</v>
      </c>
      <c r="N19" s="4">
        <v>1.1198831931394404</v>
      </c>
      <c r="O19" s="4">
        <v>1.1781383828757295</v>
      </c>
      <c r="P19" s="4">
        <v>1.1689553620199109</v>
      </c>
      <c r="Q19" s="4">
        <v>1.2186995715180984</v>
      </c>
      <c r="R19" s="4">
        <v>1.0638248784511235</v>
      </c>
      <c r="S19" s="4">
        <v>1.0278291828531556</v>
      </c>
      <c r="T19" s="4">
        <v>1.0378679113365086</v>
      </c>
    </row>
    <row r="20" spans="1:20">
      <c r="A20" s="19">
        <v>2016</v>
      </c>
      <c r="B20" s="11">
        <v>1812.6775481330728</v>
      </c>
      <c r="C20" s="11">
        <v>541.56643597447203</v>
      </c>
      <c r="D20" s="11">
        <v>313.39356119399201</v>
      </c>
      <c r="E20" s="11">
        <v>423.69946775665403</v>
      </c>
      <c r="F20" s="11">
        <v>157.3134471546764</v>
      </c>
      <c r="G20" s="11">
        <v>103.32347526292659</v>
      </c>
      <c r="H20" s="11">
        <v>850.28467790684704</v>
      </c>
      <c r="I20" s="11">
        <v>1066.6025834504051</v>
      </c>
      <c r="J20" s="11">
        <v>5268.8611968330461</v>
      </c>
      <c r="K20" s="35">
        <v>2016</v>
      </c>
      <c r="L20" s="4">
        <v>0.97258250457500106</v>
      </c>
      <c r="M20" s="4">
        <v>1.0927314482241066</v>
      </c>
      <c r="N20" s="4">
        <v>1.1220605028691735</v>
      </c>
      <c r="O20" s="4">
        <v>1.2011974729482857</v>
      </c>
      <c r="P20" s="4">
        <v>1.1806003233442572</v>
      </c>
      <c r="Q20" s="4">
        <v>1.2324023606879606</v>
      </c>
      <c r="R20" s="4">
        <v>1.0696936928901362</v>
      </c>
      <c r="S20" s="4">
        <v>1.0130717718912454</v>
      </c>
      <c r="T20" s="4">
        <v>1.0420528161688163</v>
      </c>
    </row>
    <row r="21" spans="1:20">
      <c r="A21" s="19">
        <v>2017</v>
      </c>
      <c r="B21" s="11">
        <v>1832.666672054414</v>
      </c>
      <c r="C21" s="11">
        <v>542.56411371397201</v>
      </c>
      <c r="D21" s="11">
        <v>314.14307971841004</v>
      </c>
      <c r="E21" s="11">
        <v>431.72248090046298</v>
      </c>
      <c r="F21" s="11">
        <v>158.6343780349541</v>
      </c>
      <c r="G21" s="11">
        <v>104.2441490994249</v>
      </c>
      <c r="H21" s="11">
        <v>853.3512904224599</v>
      </c>
      <c r="I21" s="11">
        <v>1055.5982030837631</v>
      </c>
      <c r="J21" s="11">
        <v>5292.9243670278602</v>
      </c>
      <c r="K21" s="35">
        <v>2017</v>
      </c>
      <c r="L21" s="4">
        <v>0.98330756277837594</v>
      </c>
      <c r="M21" s="4">
        <v>1.0947444862721221</v>
      </c>
      <c r="N21" s="4">
        <v>1.1247440459809532</v>
      </c>
      <c r="O21" s="4">
        <v>1.2239428947558704</v>
      </c>
      <c r="P21" s="4">
        <v>1.1905135980997072</v>
      </c>
      <c r="Q21" s="4">
        <v>1.2433838013202743</v>
      </c>
      <c r="R21" s="4">
        <v>1.0735516197136139</v>
      </c>
      <c r="S21" s="4">
        <v>1.0026196810285595</v>
      </c>
      <c r="T21" s="4">
        <v>1.0468119269767699</v>
      </c>
    </row>
    <row r="22" spans="1:20">
      <c r="A22" s="19" t="s">
        <v>78</v>
      </c>
      <c r="B22" s="36">
        <v>31908.528365228314</v>
      </c>
      <c r="C22" s="36">
        <v>9411.356151597598</v>
      </c>
      <c r="D22" s="36">
        <v>5346.723093673827</v>
      </c>
      <c r="E22" s="36">
        <v>6776.4260764965575</v>
      </c>
      <c r="F22" s="36">
        <v>2618.860070720501</v>
      </c>
      <c r="G22" s="36">
        <v>1682.41870654541</v>
      </c>
      <c r="H22" s="36">
        <v>14678.883018536671</v>
      </c>
      <c r="I22" s="36">
        <v>17897.943704187423</v>
      </c>
      <c r="J22" s="36">
        <v>90321.1391869863</v>
      </c>
      <c r="K22" s="12"/>
      <c r="L22" s="10"/>
      <c r="M22" s="10"/>
      <c r="N22" s="10"/>
      <c r="O22" s="10"/>
      <c r="P22" s="10"/>
      <c r="Q22" s="10"/>
      <c r="R22" s="10"/>
      <c r="S22" s="10"/>
      <c r="T22" s="10"/>
    </row>
    <row r="24" spans="1:20">
      <c r="A24" t="s">
        <v>79</v>
      </c>
    </row>
  </sheetData>
  <hyperlinks>
    <hyperlink ref="S1" location="Índice!A1" display="Volver al índice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5"/>
  <sheetViews>
    <sheetView topLeftCell="A15" workbookViewId="0">
      <selection activeCell="A25" sqref="A25"/>
    </sheetView>
  </sheetViews>
  <sheetFormatPr defaultColWidth="9.140625" defaultRowHeight="15"/>
  <sheetData>
    <row r="1" spans="1:19" ht="18.75">
      <c r="A1" s="13" t="s">
        <v>80</v>
      </c>
      <c r="S1" s="103" t="s">
        <v>44</v>
      </c>
    </row>
    <row r="25" spans="1:1">
      <c r="A25" t="s">
        <v>79</v>
      </c>
    </row>
  </sheetData>
  <hyperlinks>
    <hyperlink ref="S1" location="Índice!A1" display="Volve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29C5D1"/>
  </sheetPr>
  <dimension ref="A1:R12"/>
  <sheetViews>
    <sheetView workbookViewId="0">
      <selection activeCell="G12" sqref="G12"/>
    </sheetView>
  </sheetViews>
  <sheetFormatPr defaultColWidth="9.140625" defaultRowHeight="15"/>
  <cols>
    <col min="1" max="1" width="26.140625" customWidth="1"/>
  </cols>
  <sheetData>
    <row r="1" spans="1:18" ht="18.75">
      <c r="A1" s="13" t="s">
        <v>81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R1" s="103" t="s">
        <v>44</v>
      </c>
    </row>
    <row r="3" spans="1:18">
      <c r="A3" s="37" t="s">
        <v>82</v>
      </c>
      <c r="B3" s="38" t="s">
        <v>83</v>
      </c>
      <c r="C3" s="41" t="s">
        <v>84</v>
      </c>
    </row>
    <row r="4" spans="1:18">
      <c r="A4" t="s">
        <v>70</v>
      </c>
      <c r="B4" s="39">
        <v>7.0613506335518827E-2</v>
      </c>
      <c r="C4" s="39">
        <v>0.92938649366448112</v>
      </c>
    </row>
    <row r="5" spans="1:18">
      <c r="A5" t="s">
        <v>71</v>
      </c>
      <c r="B5" s="39">
        <v>0.6415173088799373</v>
      </c>
      <c r="C5" s="39">
        <v>0.35848269112006281</v>
      </c>
    </row>
    <row r="6" spans="1:18">
      <c r="A6" t="s">
        <v>72</v>
      </c>
      <c r="B6" s="39">
        <v>0.55335251166760668</v>
      </c>
      <c r="C6" s="39">
        <v>0.44664748833239337</v>
      </c>
    </row>
    <row r="7" spans="1:18">
      <c r="A7" t="s">
        <v>73</v>
      </c>
      <c r="B7" s="39">
        <v>0.40536754555391918</v>
      </c>
      <c r="C7" s="39">
        <v>0.59463245444608082</v>
      </c>
    </row>
    <row r="8" spans="1:18">
      <c r="A8" t="s">
        <v>74</v>
      </c>
      <c r="B8" s="39">
        <v>0.54600158010309829</v>
      </c>
      <c r="C8" s="39">
        <v>0.45399841989690182</v>
      </c>
    </row>
    <row r="9" spans="1:18">
      <c r="A9" t="s">
        <v>75</v>
      </c>
      <c r="B9" s="39">
        <v>0.73507625465494997</v>
      </c>
      <c r="C9" s="39">
        <v>0.2649237453450502</v>
      </c>
    </row>
    <row r="10" spans="1:18">
      <c r="A10" t="s">
        <v>76</v>
      </c>
      <c r="B10" s="39">
        <v>0.6492832321383365</v>
      </c>
      <c r="C10" s="39">
        <v>0.3507167678616635</v>
      </c>
    </row>
    <row r="11" spans="1:18">
      <c r="A11" s="31" t="s">
        <v>77</v>
      </c>
      <c r="B11" s="40">
        <v>0.25377465363669499</v>
      </c>
      <c r="C11" s="40">
        <v>0.74622534636330506</v>
      </c>
    </row>
    <row r="12" spans="1:18">
      <c r="A12" t="s">
        <v>85</v>
      </c>
    </row>
  </sheetData>
  <hyperlinks>
    <hyperlink ref="R1" location="Índice!A1" display="Volver al índice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26"/>
  <sheetViews>
    <sheetView topLeftCell="A14" workbookViewId="0">
      <selection activeCell="A26" sqref="A26"/>
    </sheetView>
  </sheetViews>
  <sheetFormatPr defaultColWidth="9.140625" defaultRowHeight="15"/>
  <sheetData>
    <row r="1" spans="1:20" ht="18.75">
      <c r="A1" s="13" t="s">
        <v>86</v>
      </c>
      <c r="T1" s="103" t="s">
        <v>44</v>
      </c>
    </row>
    <row r="26" spans="1:1">
      <c r="A26" t="s">
        <v>79</v>
      </c>
    </row>
  </sheetData>
  <hyperlinks>
    <hyperlink ref="T1" location="Índice!A1" display="Volve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naomi castaneda</cp:lastModifiedBy>
  <cp:revision/>
  <dcterms:created xsi:type="dcterms:W3CDTF">2023-10-10T16:04:32Z</dcterms:created>
  <dcterms:modified xsi:type="dcterms:W3CDTF">2023-11-21T19:49:35Z</dcterms:modified>
  <cp:category/>
  <cp:contentStatus/>
</cp:coreProperties>
</file>